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gilld\OneDrive\Documents\Walton Parish\Walton Backup\"/>
    </mc:Choice>
  </mc:AlternateContent>
  <xr:revisionPtr revIDLastSave="0" documentId="13_ncr:1_{7982260F-7748-4ECA-8571-8C2AC599B7A3}" xr6:coauthVersionLast="36" xr6:coauthVersionMax="36" xr10:uidLastSave="{00000000-0000-0000-0000-000000000000}"/>
  <bookViews>
    <workbookView xWindow="0" yWindow="0" windowWidth="20490" windowHeight="7590" firstSheet="1" activeTab="1" xr2:uid="{00000000-000D-0000-FFFF-FFFF00000000}"/>
  </bookViews>
  <sheets>
    <sheet name="Updated 2016 2017 Budget (2)" sheetId="8" state="hidden" r:id="rId1"/>
    <sheet name="exp " sheetId="22" r:id="rId2"/>
    <sheet name="Jonathan 2017-18 Forecast" sheetId="9" state="hidden" r:id="rId3"/>
    <sheet name="2015 2016 summary" sheetId="2" state="hidden" r:id="rId4"/>
    <sheet name="Sheet1" sheetId="6" state="hidden" r:id="rId5"/>
    <sheet name="2014 2015" sheetId="1" state="hidden" r:id="rId6"/>
  </sheets>
  <calcPr calcId="191029"/>
</workbook>
</file>

<file path=xl/calcChain.xml><?xml version="1.0" encoding="utf-8"?>
<calcChain xmlns="http://schemas.openxmlformats.org/spreadsheetml/2006/main">
  <c r="E70" i="1" l="1"/>
  <c r="B64" i="1"/>
  <c r="B68" i="1" s="1"/>
  <c r="H60" i="1"/>
  <c r="H61" i="1" s="1"/>
  <c r="I61" i="1" s="1"/>
  <c r="F60" i="1"/>
  <c r="L59" i="1"/>
  <c r="H59" i="1"/>
  <c r="F59" i="1"/>
  <c r="F61" i="1" s="1"/>
  <c r="G61" i="1" s="1"/>
  <c r="L58" i="1"/>
  <c r="D54" i="1"/>
  <c r="L53" i="1"/>
  <c r="L52" i="1"/>
  <c r="C52" i="1"/>
  <c r="L51" i="1"/>
  <c r="L50" i="1"/>
  <c r="L49" i="1"/>
  <c r="L48" i="1"/>
  <c r="L47" i="1"/>
  <c r="H46" i="1"/>
  <c r="L46" i="1" s="1"/>
  <c r="C46" i="1"/>
  <c r="L45" i="1"/>
  <c r="L44" i="1"/>
  <c r="L43" i="1"/>
  <c r="L42" i="1"/>
  <c r="I41" i="1"/>
  <c r="H41" i="1"/>
  <c r="L41" i="1" s="1"/>
  <c r="L40" i="1"/>
  <c r="K39" i="1"/>
  <c r="H39" i="1"/>
  <c r="L39" i="1" s="1"/>
  <c r="J54" i="1"/>
  <c r="I54" i="1"/>
  <c r="H38" i="1"/>
  <c r="G38" i="1"/>
  <c r="G54" i="1" s="1"/>
  <c r="F38" i="1"/>
  <c r="E38" i="1"/>
  <c r="L38" i="1" s="1"/>
  <c r="C38" i="1"/>
  <c r="L37" i="1"/>
  <c r="L36" i="1"/>
  <c r="L35" i="1"/>
  <c r="C35" i="1"/>
  <c r="L34" i="1"/>
  <c r="L33" i="1"/>
  <c r="F54" i="1"/>
  <c r="C33" i="1"/>
  <c r="L32" i="1"/>
  <c r="L31" i="1"/>
  <c r="L30" i="1"/>
  <c r="L29" i="1"/>
  <c r="L28" i="1"/>
  <c r="L27" i="1"/>
  <c r="K26" i="1"/>
  <c r="L26" i="1" s="1"/>
  <c r="K25" i="1"/>
  <c r="L25" i="1" s="1"/>
  <c r="C25" i="1"/>
  <c r="C54" i="1" s="1"/>
  <c r="L24" i="1"/>
  <c r="H24" i="1"/>
  <c r="H54" i="1" s="1"/>
  <c r="L23" i="1"/>
  <c r="K22" i="1"/>
  <c r="L22" i="1" s="1"/>
  <c r="L21" i="1"/>
  <c r="L20" i="1"/>
  <c r="L19" i="1"/>
  <c r="G16" i="1"/>
  <c r="F16" i="1"/>
  <c r="L15" i="1"/>
  <c r="I16" i="1"/>
  <c r="C15" i="1"/>
  <c r="L14" i="1"/>
  <c r="D14" i="1"/>
  <c r="D16" i="1" s="1"/>
  <c r="L12" i="1"/>
  <c r="K12" i="1"/>
  <c r="L9" i="1"/>
  <c r="K16" i="1"/>
  <c r="L8" i="1"/>
  <c r="L7" i="1"/>
  <c r="C7" i="1"/>
  <c r="L6" i="1"/>
  <c r="H16" i="1"/>
  <c r="E16" i="1"/>
  <c r="C5" i="1"/>
  <c r="L4" i="1"/>
  <c r="C4" i="1"/>
  <c r="C16" i="1" s="1"/>
  <c r="N25" i="6"/>
  <c r="N17" i="6"/>
  <c r="H15" i="6"/>
  <c r="M12" i="6"/>
  <c r="L12" i="6"/>
  <c r="B11" i="6"/>
  <c r="P10" i="6"/>
  <c r="B64" i="2"/>
  <c r="B65" i="2" s="1"/>
  <c r="I62" i="2"/>
  <c r="F62" i="2"/>
  <c r="C61" i="2"/>
  <c r="K55" i="2"/>
  <c r="H55" i="2"/>
  <c r="E55" i="2"/>
  <c r="C55" i="2"/>
  <c r="L54" i="2"/>
  <c r="L53" i="2"/>
  <c r="L52" i="2"/>
  <c r="J51" i="2"/>
  <c r="J55" i="2" s="1"/>
  <c r="I51" i="2"/>
  <c r="G51" i="2"/>
  <c r="F51" i="2"/>
  <c r="L51" i="2" s="1"/>
  <c r="L50" i="2"/>
  <c r="L49" i="2"/>
  <c r="L48" i="2"/>
  <c r="L47" i="2"/>
  <c r="G47" i="2"/>
  <c r="D47" i="2"/>
  <c r="L46" i="2"/>
  <c r="L45" i="2"/>
  <c r="L44" i="2"/>
  <c r="L43" i="2"/>
  <c r="F42" i="2"/>
  <c r="L42" i="2" s="1"/>
  <c r="L41" i="2"/>
  <c r="L40" i="2"/>
  <c r="F40" i="2"/>
  <c r="L39" i="2"/>
  <c r="F38" i="2"/>
  <c r="L38" i="2" s="1"/>
  <c r="L37" i="2"/>
  <c r="L36" i="2"/>
  <c r="G35" i="2"/>
  <c r="F34" i="2"/>
  <c r="L34" i="2" s="1"/>
  <c r="I33" i="2"/>
  <c r="I55" i="2" s="1"/>
  <c r="F33" i="2"/>
  <c r="L33" i="2" s="1"/>
  <c r="L32" i="2"/>
  <c r="F32" i="2"/>
  <c r="D32" i="2"/>
  <c r="F31" i="2"/>
  <c r="L31" i="2" s="1"/>
  <c r="D31" i="2"/>
  <c r="D55" i="2" s="1"/>
  <c r="L30" i="2"/>
  <c r="F30" i="2"/>
  <c r="L29" i="2"/>
  <c r="L28" i="2"/>
  <c r="L27" i="2"/>
  <c r="L26" i="2"/>
  <c r="L25" i="2"/>
  <c r="L24" i="2"/>
  <c r="L23" i="2"/>
  <c r="L22" i="2"/>
  <c r="L21" i="2"/>
  <c r="L20" i="2"/>
  <c r="L19" i="2"/>
  <c r="F19" i="2"/>
  <c r="F55" i="2" s="1"/>
  <c r="N16" i="2"/>
  <c r="K16" i="2"/>
  <c r="J16" i="2"/>
  <c r="I16" i="2"/>
  <c r="G16" i="2"/>
  <c r="E16" i="2"/>
  <c r="L15" i="2"/>
  <c r="H14" i="2"/>
  <c r="L14" i="2" s="1"/>
  <c r="H13" i="2"/>
  <c r="L12" i="2"/>
  <c r="L11" i="2"/>
  <c r="L10" i="2"/>
  <c r="L9" i="2"/>
  <c r="L8" i="2"/>
  <c r="L7" i="2"/>
  <c r="L6" i="2"/>
  <c r="L5" i="2"/>
  <c r="F5" i="2"/>
  <c r="F16" i="2" s="1"/>
  <c r="D5" i="2"/>
  <c r="D4" i="2"/>
  <c r="B67" i="9"/>
  <c r="C69" i="9" s="1"/>
  <c r="B59" i="9"/>
  <c r="P54" i="9"/>
  <c r="O54" i="9"/>
  <c r="N54" i="9"/>
  <c r="O55" i="9" s="1"/>
  <c r="K54" i="9"/>
  <c r="J54" i="9"/>
  <c r="I54" i="9"/>
  <c r="H54" i="9"/>
  <c r="G54" i="9"/>
  <c r="F54" i="9"/>
  <c r="E54" i="9"/>
  <c r="D54" i="9"/>
  <c r="C54" i="9"/>
  <c r="C55" i="9" s="1"/>
  <c r="L53" i="9"/>
  <c r="M53" i="9" s="1"/>
  <c r="L52" i="9"/>
  <c r="M51" i="9"/>
  <c r="L50" i="9"/>
  <c r="L49" i="9"/>
  <c r="L48" i="9"/>
  <c r="M48" i="9" s="1"/>
  <c r="L47" i="9"/>
  <c r="M47" i="9" s="1"/>
  <c r="L46" i="9"/>
  <c r="M46" i="9" s="1"/>
  <c r="L45" i="9"/>
  <c r="M45" i="9" s="1"/>
  <c r="C45" i="9"/>
  <c r="M44" i="9"/>
  <c r="L44" i="9"/>
  <c r="M43" i="9"/>
  <c r="L4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L31" i="9"/>
  <c r="L30" i="9"/>
  <c r="M30" i="9" s="1"/>
  <c r="L29" i="9"/>
  <c r="M28" i="9"/>
  <c r="L28" i="9"/>
  <c r="M27" i="9"/>
  <c r="L27" i="9"/>
  <c r="M26" i="9"/>
  <c r="L26" i="9"/>
  <c r="M25" i="9"/>
  <c r="L25" i="9"/>
  <c r="L24" i="9"/>
  <c r="L23" i="9"/>
  <c r="L22" i="9"/>
  <c r="L21" i="9"/>
  <c r="M21" i="9" s="1"/>
  <c r="P17" i="9"/>
  <c r="O17" i="9"/>
  <c r="P18" i="9" s="1"/>
  <c r="N17" i="9"/>
  <c r="K17" i="9"/>
  <c r="J17" i="9"/>
  <c r="I17" i="9"/>
  <c r="H17" i="9"/>
  <c r="G17" i="9"/>
  <c r="F17" i="9"/>
  <c r="D17" i="9"/>
  <c r="L16" i="9"/>
  <c r="L15" i="9"/>
  <c r="L14" i="9"/>
  <c r="L13" i="9"/>
  <c r="C13" i="9"/>
  <c r="C17" i="9" s="1"/>
  <c r="C18" i="9" s="1"/>
  <c r="L12" i="9"/>
  <c r="M12" i="9" s="1"/>
  <c r="L11" i="9"/>
  <c r="M10" i="9"/>
  <c r="L10" i="9"/>
  <c r="M9" i="9"/>
  <c r="L9" i="9"/>
  <c r="L8" i="9"/>
  <c r="L7" i="9"/>
  <c r="M7" i="9" s="1"/>
  <c r="L6" i="9"/>
  <c r="M6" i="9" s="1"/>
  <c r="L5" i="9"/>
  <c r="L4" i="9"/>
  <c r="L17" i="9" s="1"/>
  <c r="B60" i="9" s="1"/>
  <c r="J12" i="22"/>
  <c r="J15" i="22"/>
  <c r="J7" i="22"/>
  <c r="J11" i="22"/>
  <c r="J9" i="22"/>
  <c r="J18" i="22"/>
  <c r="J10" i="22"/>
  <c r="J8" i="22"/>
  <c r="J17" i="22"/>
  <c r="J13" i="22"/>
  <c r="J5" i="22"/>
  <c r="J6" i="22"/>
  <c r="J14" i="22"/>
  <c r="J16" i="22"/>
  <c r="K66" i="8"/>
  <c r="C66" i="8"/>
  <c r="K65" i="8"/>
  <c r="K67" i="8" s="1"/>
  <c r="C65" i="8"/>
  <c r="C67" i="8" s="1"/>
  <c r="K59" i="8"/>
  <c r="M55" i="8"/>
  <c r="D55" i="8"/>
  <c r="K54" i="8"/>
  <c r="K53" i="8"/>
  <c r="K52" i="8"/>
  <c r="I51" i="8"/>
  <c r="I55" i="8" s="1"/>
  <c r="H51" i="8"/>
  <c r="G51" i="8"/>
  <c r="F51" i="8"/>
  <c r="E51" i="8"/>
  <c r="K51" i="8" s="1"/>
  <c r="J13" i="8" s="1"/>
  <c r="K50" i="8"/>
  <c r="K49" i="8"/>
  <c r="K48" i="8"/>
  <c r="L47" i="8"/>
  <c r="F47" i="8"/>
  <c r="K47" i="8" s="1"/>
  <c r="C47" i="8"/>
  <c r="K46" i="8"/>
  <c r="K45" i="8"/>
  <c r="K44" i="8"/>
  <c r="K43" i="8"/>
  <c r="K42" i="8"/>
  <c r="J42" i="8"/>
  <c r="J55" i="8" s="1"/>
  <c r="G42" i="8"/>
  <c r="E42" i="8"/>
  <c r="K41" i="8"/>
  <c r="E40" i="8"/>
  <c r="K40" i="8" s="1"/>
  <c r="K39" i="8"/>
  <c r="K38" i="8"/>
  <c r="E38" i="8"/>
  <c r="K37" i="8"/>
  <c r="K36" i="8"/>
  <c r="L35" i="8"/>
  <c r="L55" i="8" s="1"/>
  <c r="K61" i="8" s="1"/>
  <c r="F35" i="8"/>
  <c r="F55" i="8" s="1"/>
  <c r="E34" i="8"/>
  <c r="K34" i="8" s="1"/>
  <c r="H33" i="8"/>
  <c r="H55" i="8" s="1"/>
  <c r="G33" i="8"/>
  <c r="G55" i="8" s="1"/>
  <c r="E33" i="8"/>
  <c r="K33" i="8" s="1"/>
  <c r="E32" i="8"/>
  <c r="K32" i="8" s="1"/>
  <c r="C32" i="8"/>
  <c r="K31" i="8"/>
  <c r="E31" i="8"/>
  <c r="C31" i="8"/>
  <c r="C55" i="8" s="1"/>
  <c r="E30" i="8"/>
  <c r="K30" i="8" s="1"/>
  <c r="K29" i="8"/>
  <c r="K28" i="8"/>
  <c r="K27" i="8"/>
  <c r="K26" i="8"/>
  <c r="K25" i="8"/>
  <c r="K24" i="8"/>
  <c r="K23" i="8"/>
  <c r="K22" i="8"/>
  <c r="E21" i="8"/>
  <c r="E55" i="8" s="1"/>
  <c r="M17" i="8"/>
  <c r="L17" i="8"/>
  <c r="K60" i="8" s="1"/>
  <c r="I17" i="8"/>
  <c r="H17" i="8"/>
  <c r="F17" i="8"/>
  <c r="D17" i="8"/>
  <c r="K16" i="8"/>
  <c r="K15" i="8"/>
  <c r="K14" i="8"/>
  <c r="N12" i="8"/>
  <c r="K12" i="8"/>
  <c r="K11" i="8"/>
  <c r="K10" i="8"/>
  <c r="G10" i="8"/>
  <c r="G17" i="8" s="1"/>
  <c r="K9" i="8"/>
  <c r="K8" i="8"/>
  <c r="K7" i="8"/>
  <c r="E6" i="8"/>
  <c r="E17" i="8" s="1"/>
  <c r="C6" i="8"/>
  <c r="K5" i="8"/>
  <c r="C5" i="8"/>
  <c r="K4" i="8"/>
  <c r="K17" i="8" s="1"/>
  <c r="C60" i="8" s="1"/>
  <c r="C4" i="8"/>
  <c r="C59" i="8" s="1"/>
  <c r="J17" i="8" l="1"/>
  <c r="K13" i="8"/>
  <c r="K55" i="8"/>
  <c r="C61" i="8" s="1"/>
  <c r="K62" i="8"/>
  <c r="L65" i="8" s="1"/>
  <c r="C62" i="8"/>
  <c r="K6" i="8"/>
  <c r="C17" i="8"/>
  <c r="K21" i="8"/>
  <c r="K35" i="8"/>
  <c r="D65" i="8"/>
  <c r="L54" i="9"/>
  <c r="B57" i="2"/>
  <c r="D16" i="2"/>
  <c r="L4" i="2"/>
  <c r="L16" i="2" s="1"/>
  <c r="B58" i="2" s="1"/>
  <c r="G55" i="2"/>
  <c r="L35" i="2"/>
  <c r="M17" i="9"/>
  <c r="H16" i="2"/>
  <c r="L13" i="2"/>
  <c r="L55" i="2"/>
  <c r="B59" i="2" s="1"/>
  <c r="L54" i="1"/>
  <c r="B58" i="1" s="1"/>
  <c r="J16" i="1"/>
  <c r="E54" i="1"/>
  <c r="K54" i="1"/>
  <c r="B56" i="1"/>
  <c r="L60" i="1"/>
  <c r="L61" i="1" s="1"/>
  <c r="L5" i="1"/>
  <c r="M5" i="1" s="1"/>
  <c r="L16" i="1" l="1"/>
  <c r="B57" i="1" s="1"/>
  <c r="B61" i="9"/>
  <c r="C62" i="9" s="1"/>
  <c r="M54" i="9"/>
  <c r="B59" i="1"/>
  <c r="B60" i="2"/>
  <c r="C62" i="2" l="1"/>
  <c r="F60" i="2"/>
</calcChain>
</file>

<file path=xl/sharedStrings.xml><?xml version="1.0" encoding="utf-8"?>
<sst xmlns="http://schemas.openxmlformats.org/spreadsheetml/2006/main" count="431" uniqueCount="166">
  <si>
    <t>Walton Parish Council</t>
  </si>
  <si>
    <t>Income and Expenditure Summary for Precept Setting 2016/17</t>
  </si>
  <si>
    <t>Monthly Expenditure to date plus Projection to f/y end</t>
  </si>
  <si>
    <t>2016/2017 Proposed Budget</t>
  </si>
  <si>
    <t>Income</t>
  </si>
  <si>
    <t>2015/16 Budget</t>
  </si>
  <si>
    <t>April</t>
  </si>
  <si>
    <t>May</t>
  </si>
  <si>
    <t>July</t>
  </si>
  <si>
    <t>Sept</t>
  </si>
  <si>
    <t>Nov</t>
  </si>
  <si>
    <t>Jan</t>
  </si>
  <si>
    <t>Mar</t>
  </si>
  <si>
    <t>ExpectedTotal</t>
  </si>
  <si>
    <t>Guaranteed Income</t>
  </si>
  <si>
    <t>Estimated Income</t>
  </si>
  <si>
    <t>Balance carried forward</t>
  </si>
  <si>
    <t>Parish Council Money</t>
  </si>
  <si>
    <t>Play Area Reserved</t>
  </si>
  <si>
    <t>Precept &amp; CTRS</t>
  </si>
  <si>
    <t>Concurrent Services Grant</t>
  </si>
  <si>
    <t>Bank Interest</t>
  </si>
  <si>
    <t>Wayleave</t>
  </si>
  <si>
    <t>Project Grants</t>
  </si>
  <si>
    <t>Training</t>
  </si>
  <si>
    <t>Recycling</t>
  </si>
  <si>
    <t>VAT</t>
  </si>
  <si>
    <t>Advertising</t>
  </si>
  <si>
    <t>Sales or other</t>
  </si>
  <si>
    <t>Play Area</t>
  </si>
  <si>
    <t>Play Days</t>
  </si>
  <si>
    <t>Total Income</t>
  </si>
  <si>
    <t>£12,892 anticipated income (incl. reserves)</t>
  </si>
  <si>
    <t>Budgeted Expenditure  for 2015/16</t>
  </si>
  <si>
    <t>Essential Expenditure</t>
  </si>
  <si>
    <t xml:space="preserve">Non-Essential </t>
  </si>
  <si>
    <t>Membership fees</t>
  </si>
  <si>
    <t>CALC</t>
  </si>
  <si>
    <t>Project Fees</t>
  </si>
  <si>
    <t>1 CLP Led Project</t>
  </si>
  <si>
    <t xml:space="preserve">Hall projects </t>
  </si>
  <si>
    <t>Play Area Days</t>
  </si>
  <si>
    <t>Donations</t>
  </si>
  <si>
    <t>Village Hall</t>
  </si>
  <si>
    <t>Lees Hill</t>
  </si>
  <si>
    <t>St. Marys Church</t>
  </si>
  <si>
    <t>Others</t>
  </si>
  <si>
    <t>Social Committee</t>
  </si>
  <si>
    <t>Insurance</t>
  </si>
  <si>
    <t>Parish Council</t>
  </si>
  <si>
    <t>Village Hall Insurance</t>
  </si>
  <si>
    <t>Maintenance</t>
  </si>
  <si>
    <t>Grass Cutting</t>
  </si>
  <si>
    <t>Playground Inspection</t>
  </si>
  <si>
    <t>Any assets</t>
  </si>
  <si>
    <t>Tree Risk Assessment</t>
  </si>
  <si>
    <t>Tree cutting</t>
  </si>
  <si>
    <t>Employees</t>
  </si>
  <si>
    <t>Clerk</t>
  </si>
  <si>
    <t>Expenses</t>
  </si>
  <si>
    <t>HMRC</t>
  </si>
  <si>
    <t>PAYE</t>
  </si>
  <si>
    <t>Admin</t>
  </si>
  <si>
    <t>Audit</t>
  </si>
  <si>
    <t>Stationery/Misc</t>
  </si>
  <si>
    <t>Equipment</t>
  </si>
  <si>
    <t>Printer cartridges</t>
  </si>
  <si>
    <t xml:space="preserve">Printer  </t>
  </si>
  <si>
    <t>Village Hall rent</t>
  </si>
  <si>
    <t>Newsletter</t>
  </si>
  <si>
    <t>Legal Fees</t>
  </si>
  <si>
    <t>land transfer</t>
  </si>
  <si>
    <t>Data Protection</t>
  </si>
  <si>
    <t>Website</t>
  </si>
  <si>
    <t>Domain Name</t>
  </si>
  <si>
    <t>To be reclaimed</t>
  </si>
  <si>
    <t>Play Area Maintenance</t>
  </si>
  <si>
    <t>Other</t>
  </si>
  <si>
    <t>Defib</t>
  </si>
  <si>
    <t>Contingency</t>
  </si>
  <si>
    <t>Total expenditure</t>
  </si>
  <si>
    <t>£8,062 expected expenditure</t>
  </si>
  <si>
    <t>Bank reconciliation projected for ye 31 March 2016</t>
  </si>
  <si>
    <t>Bank reconciliation projected for ye 31 March 2017</t>
  </si>
  <si>
    <t>Brought Forward</t>
  </si>
  <si>
    <t>Add receipts</t>
  </si>
  <si>
    <t>Less Payments</t>
  </si>
  <si>
    <t>End Balance</t>
  </si>
  <si>
    <t>Balance at Bank projected year end</t>
  </si>
  <si>
    <t>Current Account</t>
  </si>
  <si>
    <t>Money Manager Account</t>
  </si>
  <si>
    <t>Play Area Funds</t>
  </si>
  <si>
    <t>WALTON PARISH COUNCIL</t>
  </si>
  <si>
    <t>HMR&amp;C</t>
  </si>
  <si>
    <t>D Lockhart (defib spares)</t>
  </si>
  <si>
    <t>J Calvert</t>
  </si>
  <si>
    <t>Came &amp; Company</t>
  </si>
  <si>
    <t>A Riddell</t>
  </si>
  <si>
    <t>1.9.20</t>
  </si>
  <si>
    <t>3.11.20</t>
  </si>
  <si>
    <t>J. Calvert</t>
  </si>
  <si>
    <t>5.1.21</t>
  </si>
  <si>
    <t>Brampton PC</t>
  </si>
  <si>
    <t>Grass cutting</t>
  </si>
  <si>
    <t>Expenditure</t>
  </si>
  <si>
    <t>Total</t>
  </si>
  <si>
    <t>Budget</t>
  </si>
  <si>
    <t>Variance</t>
  </si>
  <si>
    <t>Admin costs</t>
  </si>
  <si>
    <t>Subscriptions</t>
  </si>
  <si>
    <t>Income and Expenditure Summary 2017/18</t>
  </si>
  <si>
    <t>2017/2018  Budget</t>
  </si>
  <si>
    <t>Proposed budget 2017/2018</t>
  </si>
  <si>
    <t>Est. Income</t>
  </si>
  <si>
    <t>Playarea</t>
  </si>
  <si>
    <t>Balance brought forward</t>
  </si>
  <si>
    <t>Precept</t>
  </si>
  <si>
    <t xml:space="preserve">Remaining funds </t>
  </si>
  <si>
    <t>Anticipated income incl. reserves =</t>
  </si>
  <si>
    <t>Non-essential</t>
  </si>
  <si>
    <t>Playarea.</t>
  </si>
  <si>
    <t>Transparency Grant</t>
  </si>
  <si>
    <t>Expected Expenditure=</t>
  </si>
  <si>
    <t>Bank reconciliation 19 September 2016*</t>
  </si>
  <si>
    <t>Balance at Bank 31st December 2016</t>
  </si>
  <si>
    <t>less outstanding payments</t>
  </si>
  <si>
    <t>Income and Expenditure Summary to year end 31 March 2016</t>
  </si>
  <si>
    <t>Variance against budget</t>
  </si>
  <si>
    <t>2014 2015</t>
  </si>
  <si>
    <t>-</t>
  </si>
  <si>
    <t>non-essential</t>
  </si>
  <si>
    <t>Camp Out</t>
  </si>
  <si>
    <t>Hall projects (p/year)</t>
  </si>
  <si>
    <t>CLP Write up</t>
  </si>
  <si>
    <t>Bank reconciliation projected</t>
  </si>
  <si>
    <t>Administration</t>
  </si>
  <si>
    <t>Projects</t>
  </si>
  <si>
    <t>Grants Fund</t>
  </si>
  <si>
    <t xml:space="preserve">Income and Expenditure </t>
  </si>
  <si>
    <t>Last yr Actual</t>
  </si>
  <si>
    <t>% Variance against budget</t>
  </si>
  <si>
    <t>Budgeted Expenditure  for 2014/15</t>
  </si>
  <si>
    <t>Stationery</t>
  </si>
  <si>
    <t>Defib instillation &amp; rental</t>
  </si>
  <si>
    <t>Bank reconciliation 31.03.15</t>
  </si>
  <si>
    <t>Carried Forward</t>
  </si>
  <si>
    <t>Balance at Bank:</t>
  </si>
  <si>
    <t>PAG Account</t>
  </si>
  <si>
    <t>True balance parish council</t>
  </si>
  <si>
    <t>less outstanding cheques</t>
  </si>
  <si>
    <t>True balance play area funds</t>
  </si>
  <si>
    <t>True Balance 31 March 2015</t>
  </si>
  <si>
    <t>30/4/20</t>
  </si>
  <si>
    <t>7/4/20</t>
  </si>
  <si>
    <t>3/6/20</t>
  </si>
  <si>
    <t>11/5/20</t>
  </si>
  <si>
    <t>1/4/20</t>
  </si>
  <si>
    <t>9/7/20</t>
  </si>
  <si>
    <t>1/7/20</t>
  </si>
  <si>
    <t>11/9/20</t>
  </si>
  <si>
    <t>4/9/20</t>
  </si>
  <si>
    <t>5/1/21</t>
  </si>
  <si>
    <t>22/12/20</t>
  </si>
  <si>
    <t>EXPENDITURE OVER £100 2020/2021</t>
  </si>
  <si>
    <t>Clerks Wages etc.</t>
  </si>
  <si>
    <t>Sundries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</si>
</sst>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4" formatCode="_-&quot;£&quot;* #,##0.00_-;\-&quot;£&quot;* #,##0.00_-;_-&quot;£&quot;* &quot;-&quot;??_-;_-@_-"/>
    <numFmt numFmtId="165" formatCode="&quot;£&quot;#,##0.00"/>
    <numFmt numFmtId="167" formatCode="_-&quot;£&quot;* #,##0_-;\-&quot;£&quot;* #,##0_-;_-&quot;£&quot;* &quot;-&quot;??_-;_-@_-"/>
    <numFmt numFmtId="168" formatCode="&quot;£&quot;#,##0.0"/>
    <numFmt numFmtId="170" formatCode="&quot;£&quot;#,##0"/>
  </numFmts>
  <fonts count="22">
    <font>
      <sz val="11"/>
      <color theme="1"/>
      <name val="Calibri"/>
      <charset val="134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1"/>
      <color indexed="8"/>
      <name val="Calibri"/>
      <family val="2"/>
    </font>
    <font>
      <sz val="10"/>
      <name val="Arial"/>
      <family val="2"/>
    </font>
    <font>
      <b/>
      <u val="singleAccounting"/>
      <sz val="11"/>
      <color indexed="8"/>
      <name val="Calibri"/>
      <family val="2"/>
    </font>
    <font>
      <b/>
      <u val="doubleAccounting"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u val="singleAccounting"/>
      <sz val="11"/>
      <name val="Calibri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u val="singleAccounting"/>
      <sz val="11"/>
      <color indexed="8"/>
      <name val="Calibri"/>
      <family val="2"/>
    </font>
    <font>
      <b/>
      <u val="double"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" fillId="0" borderId="0"/>
  </cellStyleXfs>
  <cellXfs count="219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2" fillId="0" borderId="0" xfId="0" applyFont="1"/>
    <xf numFmtId="0" fontId="3" fillId="2" borderId="1" xfId="3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7" fontId="4" fillId="3" borderId="1" xfId="3" applyNumberFormat="1" applyFont="1" applyFill="1" applyBorder="1" applyAlignment="1">
      <alignment horizontal="center" wrapText="1"/>
    </xf>
    <xf numFmtId="167" fontId="4" fillId="4" borderId="1" xfId="3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0" fontId="6" fillId="2" borderId="1" xfId="3" applyFont="1" applyFill="1" applyBorder="1" applyAlignment="1">
      <alignment wrapText="1"/>
    </xf>
    <xf numFmtId="165" fontId="6" fillId="2" borderId="1" xfId="3" applyNumberFormat="1" applyFont="1" applyFill="1" applyBorder="1" applyAlignment="1">
      <alignment wrapText="1"/>
    </xf>
    <xf numFmtId="167" fontId="6" fillId="3" borderId="1" xfId="3" applyNumberFormat="1" applyFont="1" applyFill="1" applyBorder="1" applyAlignment="1">
      <alignment wrapText="1"/>
    </xf>
    <xf numFmtId="167" fontId="6" fillId="4" borderId="1" xfId="3" applyNumberFormat="1" applyFont="1" applyFill="1" applyBorder="1" applyAlignment="1">
      <alignment wrapText="1"/>
    </xf>
    <xf numFmtId="167" fontId="0" fillId="5" borderId="1" xfId="0" applyNumberFormat="1" applyFill="1" applyBorder="1"/>
    <xf numFmtId="167" fontId="6" fillId="3" borderId="1" xfId="1" applyNumberFormat="1" applyFont="1" applyFill="1" applyBorder="1" applyAlignment="1">
      <alignment wrapText="1"/>
    </xf>
    <xf numFmtId="167" fontId="6" fillId="4" borderId="1" xfId="1" applyNumberFormat="1" applyFont="1" applyFill="1" applyBorder="1" applyAlignment="1">
      <alignment wrapText="1"/>
    </xf>
    <xf numFmtId="167" fontId="0" fillId="2" borderId="1" xfId="0" applyNumberFormat="1" applyFont="1" applyFill="1" applyBorder="1"/>
    <xf numFmtId="167" fontId="0" fillId="0" borderId="1" xfId="0" applyNumberFormat="1" applyBorder="1"/>
    <xf numFmtId="0" fontId="6" fillId="2" borderId="1" xfId="3" applyFill="1" applyBorder="1" applyAlignment="1">
      <alignment wrapText="1"/>
    </xf>
    <xf numFmtId="0" fontId="6" fillId="2" borderId="1" xfId="3" applyFont="1" applyFill="1" applyBorder="1"/>
    <xf numFmtId="167" fontId="6" fillId="2" borderId="1" xfId="3" applyNumberFormat="1" applyFont="1" applyFill="1" applyBorder="1" applyAlignment="1">
      <alignment wrapText="1"/>
    </xf>
    <xf numFmtId="167" fontId="0" fillId="0" borderId="1" xfId="1" applyNumberFormat="1" applyFont="1" applyBorder="1"/>
    <xf numFmtId="167" fontId="0" fillId="2" borderId="1" xfId="0" applyNumberFormat="1" applyFill="1" applyBorder="1"/>
    <xf numFmtId="0" fontId="6" fillId="2" borderId="1" xfId="3" applyFill="1" applyBorder="1"/>
    <xf numFmtId="167" fontId="7" fillId="0" borderId="1" xfId="0" applyNumberFormat="1" applyFont="1" applyBorder="1"/>
    <xf numFmtId="0" fontId="4" fillId="3" borderId="1" xfId="3" applyFont="1" applyFill="1" applyBorder="1" applyAlignment="1">
      <alignment wrapText="1"/>
    </xf>
    <xf numFmtId="0" fontId="6" fillId="3" borderId="1" xfId="3" applyFont="1" applyFill="1" applyBorder="1" applyAlignment="1">
      <alignment wrapText="1"/>
    </xf>
    <xf numFmtId="167" fontId="3" fillId="3" borderId="1" xfId="3" applyNumberFormat="1" applyFont="1" applyFill="1" applyBorder="1" applyAlignment="1">
      <alignment wrapText="1"/>
    </xf>
    <xf numFmtId="167" fontId="3" fillId="4" borderId="1" xfId="3" applyNumberFormat="1" applyFont="1" applyFill="1" applyBorder="1" applyAlignment="1">
      <alignment wrapText="1"/>
    </xf>
    <xf numFmtId="167" fontId="4" fillId="3" borderId="1" xfId="3" applyNumberFormat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7" fontId="8" fillId="0" borderId="1" xfId="0" applyNumberFormat="1" applyFont="1" applyBorder="1"/>
    <xf numFmtId="167" fontId="9" fillId="0" borderId="1" xfId="0" applyNumberFormat="1" applyFont="1" applyBorder="1"/>
    <xf numFmtId="167" fontId="0" fillId="0" borderId="1" xfId="0" applyNumberFormat="1" applyFont="1" applyBorder="1"/>
    <xf numFmtId="167" fontId="9" fillId="2" borderId="1" xfId="0" applyNumberFormat="1" applyFont="1" applyFill="1" applyBorder="1"/>
    <xf numFmtId="0" fontId="6" fillId="3" borderId="1" xfId="3" applyFill="1" applyBorder="1" applyAlignment="1">
      <alignment wrapText="1"/>
    </xf>
    <xf numFmtId="167" fontId="4" fillId="3" borderId="1" xfId="1" applyNumberFormat="1" applyFont="1" applyFill="1" applyBorder="1" applyAlignment="1">
      <alignment wrapText="1"/>
    </xf>
    <xf numFmtId="167" fontId="4" fillId="4" borderId="1" xfId="1" applyNumberFormat="1" applyFont="1" applyFill="1" applyBorder="1" applyAlignment="1">
      <alignment wrapText="1"/>
    </xf>
    <xf numFmtId="2" fontId="3" fillId="2" borderId="2" xfId="3" applyNumberFormat="1" applyFont="1" applyFill="1" applyBorder="1" applyAlignment="1">
      <alignment horizontal="center"/>
    </xf>
    <xf numFmtId="2" fontId="6" fillId="2" borderId="0" xfId="3" applyNumberFormat="1" applyFont="1" applyFill="1" applyBorder="1"/>
    <xf numFmtId="167" fontId="4" fillId="2" borderId="0" xfId="1" applyNumberFormat="1" applyFont="1" applyFill="1" applyBorder="1" applyAlignment="1">
      <alignment horizontal="center"/>
    </xf>
    <xf numFmtId="167" fontId="0" fillId="0" borderId="0" xfId="0" applyNumberFormat="1"/>
    <xf numFmtId="2" fontId="6" fillId="2" borderId="2" xfId="3" applyNumberFormat="1" applyFill="1" applyBorder="1" applyAlignment="1">
      <alignment horizontal="right"/>
    </xf>
    <xf numFmtId="2" fontId="0" fillId="2" borderId="0" xfId="0" applyNumberFormat="1" applyFill="1"/>
    <xf numFmtId="44" fontId="0" fillId="0" borderId="0" xfId="0" applyNumberFormat="1"/>
    <xf numFmtId="1" fontId="0" fillId="0" borderId="0" xfId="0" applyNumberFormat="1"/>
    <xf numFmtId="2" fontId="0" fillId="0" borderId="0" xfId="0" applyNumberFormat="1"/>
    <xf numFmtId="2" fontId="5" fillId="2" borderId="0" xfId="0" applyNumberFormat="1" applyFont="1" applyFill="1"/>
    <xf numFmtId="2" fontId="6" fillId="2" borderId="2" xfId="3" applyNumberFormat="1" applyFill="1" applyBorder="1"/>
    <xf numFmtId="0" fontId="0" fillId="5" borderId="1" xfId="0" applyFill="1" applyBorder="1"/>
    <xf numFmtId="4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1" fontId="0" fillId="2" borderId="1" xfId="2" applyNumberFormat="1" applyFont="1" applyFill="1" applyBorder="1"/>
    <xf numFmtId="0" fontId="0" fillId="2" borderId="0" xfId="0" applyFill="1"/>
    <xf numFmtId="2" fontId="6" fillId="2" borderId="0" xfId="3" applyNumberFormat="1" applyFill="1" applyBorder="1" applyAlignment="1">
      <alignment horizontal="right"/>
    </xf>
    <xf numFmtId="44" fontId="0" fillId="2" borderId="0" xfId="0" applyNumberFormat="1" applyFill="1"/>
    <xf numFmtId="0" fontId="0" fillId="0" borderId="0" xfId="0" applyAlignment="1">
      <alignment horizontal="right"/>
    </xf>
    <xf numFmtId="3" fontId="10" fillId="0" borderId="0" xfId="0" applyNumberFormat="1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6" fontId="10" fillId="0" borderId="0" xfId="0" applyNumberFormat="1" applyFont="1" applyAlignment="1">
      <alignment horizontal="justify" vertical="center"/>
    </xf>
    <xf numFmtId="6" fontId="0" fillId="0" borderId="0" xfId="0" applyNumberFormat="1"/>
    <xf numFmtId="167" fontId="6" fillId="6" borderId="1" xfId="1" applyNumberFormat="1" applyFont="1" applyFill="1" applyBorder="1" applyAlignment="1">
      <alignment wrapText="1"/>
    </xf>
    <xf numFmtId="44" fontId="6" fillId="6" borderId="1" xfId="1" applyFont="1" applyFill="1" applyBorder="1" applyAlignment="1">
      <alignment wrapText="1"/>
    </xf>
    <xf numFmtId="167" fontId="0" fillId="2" borderId="1" xfId="1" applyNumberFormat="1" applyFont="1" applyFill="1" applyBorder="1"/>
    <xf numFmtId="167" fontId="7" fillId="2" borderId="1" xfId="0" applyNumberFormat="1" applyFont="1" applyFill="1" applyBorder="1"/>
    <xf numFmtId="44" fontId="3" fillId="6" borderId="1" xfId="1" applyFont="1" applyFill="1" applyBorder="1" applyAlignment="1">
      <alignment wrapText="1"/>
    </xf>
    <xf numFmtId="44" fontId="0" fillId="6" borderId="1" xfId="1" applyFont="1" applyFill="1" applyBorder="1" applyAlignment="1">
      <alignment wrapText="1"/>
    </xf>
    <xf numFmtId="0" fontId="6" fillId="0" borderId="1" xfId="3" applyFont="1" applyFill="1" applyBorder="1" applyAlignment="1">
      <alignment wrapText="1"/>
    </xf>
    <xf numFmtId="167" fontId="8" fillId="2" borderId="1" xfId="0" applyNumberFormat="1" applyFont="1" applyFill="1" applyBorder="1"/>
    <xf numFmtId="167" fontId="0" fillId="0" borderId="1" xfId="0" applyNumberFormat="1" applyFill="1" applyBorder="1"/>
    <xf numFmtId="44" fontId="6" fillId="0" borderId="1" xfId="3" applyNumberFormat="1" applyFont="1" applyFill="1" applyBorder="1" applyAlignment="1">
      <alignment wrapText="1"/>
    </xf>
    <xf numFmtId="167" fontId="0" fillId="7" borderId="1" xfId="0" applyNumberFormat="1" applyFont="1" applyFill="1" applyBorder="1"/>
    <xf numFmtId="167" fontId="0" fillId="7" borderId="1" xfId="0" applyNumberFormat="1" applyFill="1" applyBorder="1"/>
    <xf numFmtId="0" fontId="0" fillId="0" borderId="0" xfId="0" applyFill="1"/>
    <xf numFmtId="167" fontId="0" fillId="8" borderId="1" xfId="0" applyNumberFormat="1" applyFill="1" applyBorder="1"/>
    <xf numFmtId="0" fontId="6" fillId="0" borderId="1" xfId="3" applyFont="1" applyFill="1" applyBorder="1"/>
    <xf numFmtId="167" fontId="6" fillId="6" borderId="1" xfId="1" applyNumberFormat="1" applyFont="1" applyFill="1" applyBorder="1"/>
    <xf numFmtId="0" fontId="6" fillId="0" borderId="1" xfId="3" applyFill="1" applyBorder="1"/>
    <xf numFmtId="167" fontId="3" fillId="6" borderId="1" xfId="1" applyNumberFormat="1" applyFont="1" applyFill="1" applyBorder="1" applyAlignment="1">
      <alignment wrapText="1"/>
    </xf>
    <xf numFmtId="44" fontId="0" fillId="2" borderId="0" xfId="1" applyFont="1" applyFill="1"/>
    <xf numFmtId="44" fontId="8" fillId="2" borderId="0" xfId="1" applyFont="1" applyFill="1"/>
    <xf numFmtId="170" fontId="0" fillId="0" borderId="0" xfId="0" applyNumberFormat="1"/>
    <xf numFmtId="167" fontId="0" fillId="3" borderId="1" xfId="0" applyNumberFormat="1" applyFill="1" applyBorder="1"/>
    <xf numFmtId="167" fontId="1" fillId="3" borderId="1" xfId="0" applyNumberFormat="1" applyFont="1" applyFill="1" applyBorder="1"/>
    <xf numFmtId="165" fontId="0" fillId="0" borderId="0" xfId="0" applyNumberFormat="1"/>
    <xf numFmtId="44" fontId="8" fillId="2" borderId="0" xfId="0" applyNumberFormat="1" applyFont="1" applyFill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left"/>
    </xf>
    <xf numFmtId="0" fontId="6" fillId="2" borderId="1" xfId="3" applyFont="1" applyFill="1" applyBorder="1" applyAlignment="1">
      <alignment horizontal="right" wrapText="1"/>
    </xf>
    <xf numFmtId="44" fontId="12" fillId="9" borderId="0" xfId="1" applyFont="1" applyFill="1"/>
    <xf numFmtId="44" fontId="6" fillId="9" borderId="1" xfId="1" applyFont="1" applyFill="1" applyBorder="1" applyAlignment="1">
      <alignment wrapText="1"/>
    </xf>
    <xf numFmtId="167" fontId="12" fillId="2" borderId="1" xfId="0" applyNumberFormat="1" applyFont="1" applyFill="1" applyBorder="1"/>
    <xf numFmtId="0" fontId="6" fillId="2" borderId="1" xfId="3" applyFill="1" applyBorder="1" applyAlignment="1">
      <alignment horizontal="right" wrapText="1"/>
    </xf>
    <xf numFmtId="44" fontId="12" fillId="9" borderId="1" xfId="1" applyFont="1" applyFill="1" applyBorder="1"/>
    <xf numFmtId="0" fontId="12" fillId="2" borderId="0" xfId="0" applyFont="1" applyFill="1"/>
    <xf numFmtId="0" fontId="6" fillId="2" borderId="1" xfId="3" applyFont="1" applyFill="1" applyBorder="1" applyAlignment="1">
      <alignment horizontal="right"/>
    </xf>
    <xf numFmtId="167" fontId="12" fillId="2" borderId="1" xfId="1" applyNumberFormat="1" applyFont="1" applyFill="1" applyBorder="1"/>
    <xf numFmtId="0" fontId="6" fillId="2" borderId="1" xfId="3" applyFill="1" applyBorder="1" applyAlignment="1">
      <alignment horizontal="right"/>
    </xf>
    <xf numFmtId="167" fontId="13" fillId="2" borderId="1" xfId="0" applyNumberFormat="1" applyFont="1" applyFill="1" applyBorder="1"/>
    <xf numFmtId="0" fontId="3" fillId="2" borderId="4" xfId="3" applyFont="1" applyFill="1" applyBorder="1" applyAlignment="1">
      <alignment horizontal="center" wrapText="1"/>
    </xf>
    <xf numFmtId="0" fontId="6" fillId="2" borderId="6" xfId="3" applyFont="1" applyFill="1" applyBorder="1" applyAlignment="1">
      <alignment horizontal="center" wrapText="1"/>
    </xf>
    <xf numFmtId="0" fontId="11" fillId="9" borderId="1" xfId="0" applyFont="1" applyFill="1" applyBorder="1" applyAlignment="1">
      <alignment horizontal="center" wrapText="1"/>
    </xf>
    <xf numFmtId="44" fontId="14" fillId="2" borderId="1" xfId="1" applyFont="1" applyFill="1" applyBorder="1"/>
    <xf numFmtId="44" fontId="6" fillId="9" borderId="1" xfId="1" applyFont="1" applyFill="1" applyBorder="1"/>
    <xf numFmtId="44" fontId="0" fillId="2" borderId="1" xfId="0" applyNumberFormat="1" applyFill="1" applyBorder="1"/>
    <xf numFmtId="167" fontId="15" fillId="3" borderId="1" xfId="3" applyNumberFormat="1" applyFont="1" applyFill="1" applyBorder="1" applyAlignment="1">
      <alignment wrapText="1"/>
    </xf>
    <xf numFmtId="0" fontId="0" fillId="0" borderId="0" xfId="0" applyBorder="1"/>
    <xf numFmtId="0" fontId="0" fillId="2" borderId="0" xfId="0" applyFill="1" applyBorder="1"/>
    <xf numFmtId="165" fontId="0" fillId="2" borderId="0" xfId="1" applyNumberFormat="1" applyFont="1" applyFill="1" applyBorder="1"/>
    <xf numFmtId="167" fontId="0" fillId="0" borderId="0" xfId="0" applyNumberFormat="1" applyBorder="1"/>
    <xf numFmtId="2" fontId="3" fillId="10" borderId="0" xfId="3" applyNumberFormat="1" applyFont="1" applyFill="1" applyBorder="1" applyAlignment="1">
      <alignment horizontal="center"/>
    </xf>
    <xf numFmtId="2" fontId="6" fillId="10" borderId="0" xfId="3" applyNumberFormat="1" applyFont="1" applyFill="1" applyBorder="1"/>
    <xf numFmtId="2" fontId="3" fillId="11" borderId="0" xfId="3" applyNumberFormat="1" applyFont="1" applyFill="1" applyBorder="1" applyAlignment="1">
      <alignment horizontal="center"/>
    </xf>
    <xf numFmtId="2" fontId="6" fillId="10" borderId="0" xfId="3" applyNumberFormat="1" applyFont="1" applyFill="1" applyBorder="1" applyAlignment="1">
      <alignment horizontal="right"/>
    </xf>
    <xf numFmtId="44" fontId="0" fillId="10" borderId="0" xfId="1" applyFont="1" applyFill="1" applyBorder="1"/>
    <xf numFmtId="44" fontId="0" fillId="0" borderId="0" xfId="0" applyNumberFormat="1" applyBorder="1"/>
    <xf numFmtId="44" fontId="8" fillId="10" borderId="0" xfId="1" applyFont="1" applyFill="1" applyBorder="1"/>
    <xf numFmtId="0" fontId="0" fillId="7" borderId="0" xfId="0" applyFill="1"/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167" fontId="0" fillId="0" borderId="2" xfId="0" applyNumberFormat="1" applyBorder="1" applyAlignment="1">
      <alignment horizontal="right"/>
    </xf>
    <xf numFmtId="9" fontId="0" fillId="0" borderId="1" xfId="2" applyFont="1" applyBorder="1"/>
    <xf numFmtId="167" fontId="2" fillId="2" borderId="1" xfId="0" applyNumberFormat="1" applyFont="1" applyFill="1" applyBorder="1"/>
    <xf numFmtId="44" fontId="4" fillId="9" borderId="1" xfId="1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7" fontId="0" fillId="10" borderId="2" xfId="0" applyNumberFormat="1" applyFont="1" applyFill="1" applyBorder="1" applyAlignment="1">
      <alignment horizontal="right"/>
    </xf>
    <xf numFmtId="44" fontId="0" fillId="2" borderId="2" xfId="0" applyNumberFormat="1" applyFill="1" applyBorder="1" applyAlignment="1">
      <alignment horizontal="right"/>
    </xf>
    <xf numFmtId="44" fontId="14" fillId="2" borderId="2" xfId="1" applyFont="1" applyFill="1" applyBorder="1" applyAlignment="1">
      <alignment horizontal="right"/>
    </xf>
    <xf numFmtId="44" fontId="2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0" fillId="0" borderId="10" xfId="0" applyBorder="1" applyAlignment="1">
      <alignment horizontal="right"/>
    </xf>
    <xf numFmtId="167" fontId="0" fillId="3" borderId="0" xfId="0" applyNumberFormat="1" applyFill="1" applyBorder="1"/>
    <xf numFmtId="2" fontId="3" fillId="2" borderId="0" xfId="3" applyNumberFormat="1" applyFont="1" applyFill="1" applyBorder="1" applyAlignment="1">
      <alignment horizontal="center"/>
    </xf>
    <xf numFmtId="44" fontId="0" fillId="2" borderId="0" xfId="1" applyFont="1" applyFill="1" applyBorder="1"/>
    <xf numFmtId="165" fontId="0" fillId="0" borderId="0" xfId="0" applyNumberFormat="1" applyBorder="1"/>
    <xf numFmtId="44" fontId="8" fillId="2" borderId="0" xfId="1" applyFont="1" applyFill="1" applyBorder="1"/>
    <xf numFmtId="2" fontId="0" fillId="0" borderId="0" xfId="0" applyNumberFormat="1" applyFont="1" applyFill="1" applyBorder="1"/>
    <xf numFmtId="44" fontId="16" fillId="10" borderId="0" xfId="1" applyFont="1" applyFill="1" applyBorder="1"/>
    <xf numFmtId="0" fontId="0" fillId="0" borderId="0" xfId="0" applyFont="1" applyFill="1" applyBorder="1"/>
    <xf numFmtId="0" fontId="0" fillId="10" borderId="0" xfId="0" applyFont="1" applyFill="1" applyBorder="1"/>
    <xf numFmtId="44" fontId="8" fillId="2" borderId="0" xfId="0" applyNumberFormat="1" applyFont="1" applyFill="1" applyBorder="1"/>
    <xf numFmtId="44" fontId="16" fillId="10" borderId="0" xfId="0" applyNumberFormat="1" applyFont="1" applyFill="1" applyBorder="1"/>
    <xf numFmtId="2" fontId="5" fillId="2" borderId="0" xfId="0" applyNumberFormat="1" applyFont="1" applyFill="1" applyBorder="1"/>
    <xf numFmtId="1" fontId="0" fillId="0" borderId="0" xfId="0" applyNumberFormat="1" applyBorder="1"/>
    <xf numFmtId="0" fontId="0" fillId="0" borderId="0" xfId="0" applyFont="1" applyFill="1" applyBorder="1" applyAlignment="1">
      <alignment horizontal="right" wrapText="1"/>
    </xf>
    <xf numFmtId="44" fontId="17" fillId="10" borderId="0" xfId="1" applyFont="1" applyFill="1" applyBorder="1"/>
    <xf numFmtId="0" fontId="0" fillId="0" borderId="0" xfId="0" applyFont="1" applyFill="1" applyBorder="1" applyAlignment="1">
      <alignment horizontal="right"/>
    </xf>
    <xf numFmtId="2" fontId="0" fillId="0" borderId="0" xfId="0" applyNumberFormat="1" applyBorder="1"/>
    <xf numFmtId="0" fontId="18" fillId="0" borderId="0" xfId="0" applyFont="1"/>
    <xf numFmtId="49" fontId="18" fillId="0" borderId="0" xfId="0" applyNumberFormat="1" applyFont="1" applyAlignment="1">
      <alignment horizontal="right"/>
    </xf>
    <xf numFmtId="2" fontId="18" fillId="0" borderId="0" xfId="0" applyNumberFormat="1" applyFont="1"/>
    <xf numFmtId="2" fontId="18" fillId="0" borderId="0" xfId="1" applyNumberFormat="1" applyFont="1"/>
    <xf numFmtId="0" fontId="0" fillId="0" borderId="0" xfId="0" applyAlignment="1">
      <alignment horizontal="centerContinuous"/>
    </xf>
    <xf numFmtId="39" fontId="18" fillId="0" borderId="0" xfId="1" applyNumberFormat="1" applyFont="1"/>
    <xf numFmtId="49" fontId="18" fillId="0" borderId="0" xfId="0" applyNumberFormat="1" applyFont="1"/>
    <xf numFmtId="39" fontId="0" fillId="0" borderId="0" xfId="0" applyNumberFormat="1"/>
    <xf numFmtId="49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/>
    </xf>
    <xf numFmtId="44" fontId="6" fillId="4" borderId="1" xfId="1" applyFont="1" applyFill="1" applyBorder="1" applyAlignment="1">
      <alignment wrapText="1"/>
    </xf>
    <xf numFmtId="44" fontId="3" fillId="4" borderId="1" xfId="1" applyFont="1" applyFill="1" applyBorder="1" applyAlignment="1">
      <alignment wrapText="1"/>
    </xf>
    <xf numFmtId="44" fontId="0" fillId="4" borderId="1" xfId="1" applyFont="1" applyFill="1" applyBorder="1" applyAlignment="1">
      <alignment wrapText="1"/>
    </xf>
    <xf numFmtId="167" fontId="6" fillId="4" borderId="1" xfId="1" applyNumberFormat="1" applyFont="1" applyFill="1" applyBorder="1"/>
    <xf numFmtId="167" fontId="3" fillId="4" borderId="1" xfId="1" applyNumberFormat="1" applyFont="1" applyFill="1" applyBorder="1" applyAlignment="1">
      <alignment wrapText="1"/>
    </xf>
    <xf numFmtId="2" fontId="6" fillId="2" borderId="1" xfId="3" applyNumberFormat="1" applyFont="1" applyFill="1" applyBorder="1"/>
    <xf numFmtId="2" fontId="0" fillId="2" borderId="0" xfId="0" applyNumberFormat="1" applyFill="1" applyBorder="1"/>
    <xf numFmtId="170" fontId="0" fillId="0" borderId="0" xfId="0" applyNumberFormat="1" applyBorder="1"/>
    <xf numFmtId="0" fontId="11" fillId="6" borderId="1" xfId="0" applyFont="1" applyFill="1" applyBorder="1" applyAlignment="1">
      <alignment horizontal="left"/>
    </xf>
    <xf numFmtId="0" fontId="12" fillId="6" borderId="0" xfId="0" applyFont="1" applyFill="1"/>
    <xf numFmtId="165" fontId="6" fillId="7" borderId="1" xfId="3" applyNumberFormat="1" applyFont="1" applyFill="1" applyBorder="1" applyAlignment="1">
      <alignment wrapText="1"/>
    </xf>
    <xf numFmtId="165" fontId="6" fillId="6" borderId="1" xfId="3" applyNumberFormat="1" applyFont="1" applyFill="1" applyBorder="1" applyAlignment="1">
      <alignment wrapText="1"/>
    </xf>
    <xf numFmtId="168" fontId="0" fillId="0" borderId="0" xfId="0" applyNumberFormat="1"/>
    <xf numFmtId="168" fontId="6" fillId="6" borderId="1" xfId="3" applyNumberFormat="1" applyFont="1" applyFill="1" applyBorder="1" applyAlignment="1">
      <alignment wrapText="1"/>
    </xf>
    <xf numFmtId="0" fontId="6" fillId="6" borderId="1" xfId="3" applyFont="1" applyFill="1" applyBorder="1" applyAlignment="1">
      <alignment wrapText="1"/>
    </xf>
    <xf numFmtId="167" fontId="6" fillId="6" borderId="1" xfId="3" applyNumberFormat="1" applyFont="1" applyFill="1" applyBorder="1" applyAlignment="1">
      <alignment wrapText="1"/>
    </xf>
    <xf numFmtId="0" fontId="3" fillId="6" borderId="4" xfId="3" applyFont="1" applyFill="1" applyBorder="1" applyAlignment="1">
      <alignment horizontal="center" wrapText="1"/>
    </xf>
    <xf numFmtId="0" fontId="6" fillId="6" borderId="6" xfId="3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44" fontId="6" fillId="6" borderId="1" xfId="3" applyNumberFormat="1" applyFont="1" applyFill="1" applyBorder="1" applyAlignment="1">
      <alignment wrapText="1"/>
    </xf>
    <xf numFmtId="44" fontId="12" fillId="6" borderId="0" xfId="0" applyNumberFormat="1" applyFont="1" applyFill="1"/>
    <xf numFmtId="0" fontId="6" fillId="6" borderId="1" xfId="3" applyFont="1" applyFill="1" applyBorder="1"/>
    <xf numFmtId="44" fontId="8" fillId="2" borderId="0" xfId="1" applyNumberFormat="1" applyFont="1" applyFill="1" applyBorder="1"/>
    <xf numFmtId="0" fontId="0" fillId="0" borderId="0" xfId="0" applyBorder="1" applyAlignment="1">
      <alignment horizontal="right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Continuous"/>
    </xf>
    <xf numFmtId="49" fontId="21" fillId="0" borderId="0" xfId="0" applyNumberFormat="1" applyFont="1" applyAlignment="1">
      <alignment horizontal="right"/>
    </xf>
    <xf numFmtId="0" fontId="21" fillId="0" borderId="0" xfId="0" applyFont="1"/>
    <xf numFmtId="2" fontId="21" fillId="0" borderId="0" xfId="0" applyNumberFormat="1" applyFont="1"/>
    <xf numFmtId="2" fontId="21" fillId="0" borderId="0" xfId="1" applyNumberFormat="1" applyFont="1"/>
    <xf numFmtId="0" fontId="0" fillId="0" borderId="0" xfId="0"/>
    <xf numFmtId="0" fontId="20" fillId="0" borderId="0" xfId="0" applyFont="1"/>
    <xf numFmtId="0" fontId="20" fillId="0" borderId="0" xfId="0" applyFont="1" applyAlignment="1">
      <alignment wrapText="1"/>
    </xf>
    <xf numFmtId="2" fontId="3" fillId="6" borderId="1" xfId="3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3" fillId="6" borderId="4" xfId="3" applyFont="1" applyFill="1" applyBorder="1" applyAlignment="1">
      <alignment horizontal="center" wrapText="1"/>
    </xf>
    <xf numFmtId="0" fontId="6" fillId="6" borderId="6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0" fontId="1" fillId="2" borderId="3" xfId="0" applyFont="1" applyFill="1" applyBorder="1" applyAlignment="1">
      <alignment horizontal="center"/>
    </xf>
    <xf numFmtId="44" fontId="4" fillId="9" borderId="4" xfId="1" applyFont="1" applyFill="1" applyBorder="1" applyAlignment="1">
      <alignment horizontal="center" wrapText="1"/>
    </xf>
    <xf numFmtId="44" fontId="4" fillId="9" borderId="5" xfId="1" applyFont="1" applyFill="1" applyBorder="1" applyAlignment="1">
      <alignment horizontal="center" wrapText="1"/>
    </xf>
    <xf numFmtId="44" fontId="4" fillId="9" borderId="6" xfId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4" fontId="3" fillId="9" borderId="4" xfId="1" applyFont="1" applyFill="1" applyBorder="1" applyAlignment="1">
      <alignment horizontal="right"/>
    </xf>
    <xf numFmtId="44" fontId="3" fillId="9" borderId="5" xfId="1" applyFont="1" applyFill="1" applyBorder="1" applyAlignment="1">
      <alignment horizontal="right"/>
    </xf>
    <xf numFmtId="44" fontId="3" fillId="9" borderId="6" xfId="1" applyFont="1" applyFill="1" applyBorder="1" applyAlignment="1">
      <alignment horizontal="right"/>
    </xf>
    <xf numFmtId="44" fontId="3" fillId="9" borderId="1" xfId="1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00000000-0005-0000-0000-000020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opLeftCell="C1" workbookViewId="0">
      <selection activeCell="N53" sqref="N53"/>
    </sheetView>
  </sheetViews>
  <sheetFormatPr defaultColWidth="24.28515625" defaultRowHeight="15"/>
  <cols>
    <col min="1" max="1" width="34.42578125" customWidth="1"/>
    <col min="2" max="2" width="22.5703125" style="55" customWidth="1"/>
    <col min="3" max="3" width="21.42578125" customWidth="1"/>
    <col min="4" max="4" width="11.5703125" customWidth="1"/>
    <col min="5" max="5" width="11.28515625" customWidth="1"/>
    <col min="6" max="6" width="8.28515625" customWidth="1"/>
    <col min="7" max="7" width="10.7109375" customWidth="1"/>
    <col min="8" max="8" width="9.85546875" customWidth="1"/>
    <col min="9" max="9" width="8.42578125" customWidth="1"/>
    <col min="10" max="10" width="8.140625" customWidth="1"/>
    <col min="11" max="11" width="13.7109375" customWidth="1"/>
    <col min="12" max="13" width="22.5703125" customWidth="1"/>
  </cols>
  <sheetData>
    <row r="1" spans="1:15">
      <c r="A1" s="1" t="s">
        <v>0</v>
      </c>
    </row>
    <row r="2" spans="1:15">
      <c r="A2" s="200" t="s">
        <v>1</v>
      </c>
      <c r="B2" s="200"/>
      <c r="C2" s="2"/>
      <c r="D2" s="200" t="s">
        <v>2</v>
      </c>
      <c r="E2" s="200"/>
      <c r="F2" s="200"/>
      <c r="G2" s="200"/>
      <c r="H2" s="200"/>
      <c r="I2" s="200"/>
      <c r="J2" s="200"/>
      <c r="K2" s="1"/>
      <c r="L2" s="201" t="s">
        <v>3</v>
      </c>
      <c r="M2" s="201"/>
    </row>
    <row r="3" spans="1:15">
      <c r="A3" s="4" t="s">
        <v>4</v>
      </c>
      <c r="B3" s="89"/>
      <c r="C3" s="164" t="s">
        <v>5</v>
      </c>
      <c r="D3" s="8" t="s">
        <v>6</v>
      </c>
      <c r="E3" s="9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173" t="s">
        <v>14</v>
      </c>
      <c r="M3" s="173" t="s">
        <v>15</v>
      </c>
    </row>
    <row r="4" spans="1:15">
      <c r="A4" s="91" t="s">
        <v>16</v>
      </c>
      <c r="B4" s="11" t="s">
        <v>17</v>
      </c>
      <c r="C4" s="16" t="e">
        <f>#REF!+#REF!</f>
        <v>#REF!</v>
      </c>
      <c r="D4" s="14"/>
      <c r="E4" s="14"/>
      <c r="F4" s="14"/>
      <c r="G4" s="14"/>
      <c r="H4" s="14"/>
      <c r="I4" s="14"/>
      <c r="J4" s="14"/>
      <c r="K4" s="84" t="e">
        <f>C4</f>
        <v>#REF!</v>
      </c>
      <c r="L4" s="174"/>
      <c r="M4" s="175">
        <v>7554</v>
      </c>
    </row>
    <row r="5" spans="1:15">
      <c r="A5" s="91"/>
      <c r="B5" s="11" t="s">
        <v>18</v>
      </c>
      <c r="C5" s="16" t="e">
        <f>#REF!</f>
        <v>#REF!</v>
      </c>
      <c r="D5" s="14"/>
      <c r="E5" s="14"/>
      <c r="F5" s="14"/>
      <c r="G5" s="14"/>
      <c r="H5" s="14"/>
      <c r="I5" s="14"/>
      <c r="J5" s="14"/>
      <c r="K5" s="84" t="e">
        <f>SUM(C5)</f>
        <v>#REF!</v>
      </c>
      <c r="L5" s="176"/>
      <c r="M5" s="176"/>
      <c r="O5" s="177"/>
    </row>
    <row r="6" spans="1:15">
      <c r="A6" s="91" t="s">
        <v>19</v>
      </c>
      <c r="B6" s="11"/>
      <c r="C6" s="16">
        <f>5051*1.015</f>
        <v>5126.7649999999994</v>
      </c>
      <c r="D6" s="17"/>
      <c r="E6" s="23" t="e">
        <f>#REF!+#REF!</f>
        <v>#REF!</v>
      </c>
      <c r="F6" s="23"/>
      <c r="G6" s="23"/>
      <c r="H6" s="74"/>
      <c r="I6" s="74"/>
      <c r="J6" s="74"/>
      <c r="K6" s="84" t="e">
        <f>SUM(D6:J6)</f>
        <v>#REF!</v>
      </c>
      <c r="L6" s="178">
        <v>5230</v>
      </c>
      <c r="M6" s="176"/>
    </row>
    <row r="7" spans="1:15">
      <c r="A7" s="95" t="s">
        <v>20</v>
      </c>
      <c r="B7" s="10"/>
      <c r="C7" s="16">
        <v>520</v>
      </c>
      <c r="D7" s="23"/>
      <c r="E7" s="23"/>
      <c r="F7" s="23">
        <v>508</v>
      </c>
      <c r="G7" s="23"/>
      <c r="H7" s="74"/>
      <c r="I7" s="74"/>
      <c r="J7" s="74"/>
      <c r="K7" s="84">
        <f t="shared" ref="K7:K16" si="0">SUM(D7:J7)</f>
        <v>508</v>
      </c>
      <c r="L7" s="179">
        <v>0</v>
      </c>
      <c r="M7" s="179"/>
    </row>
    <row r="8" spans="1:15">
      <c r="A8" s="95" t="s">
        <v>21</v>
      </c>
      <c r="B8" s="10"/>
      <c r="C8" s="16">
        <v>4</v>
      </c>
      <c r="D8" s="23"/>
      <c r="E8" s="23"/>
      <c r="F8" s="23">
        <v>1</v>
      </c>
      <c r="G8" s="55">
        <v>1</v>
      </c>
      <c r="H8" s="74"/>
      <c r="I8" s="74">
        <v>1</v>
      </c>
      <c r="J8" s="74">
        <v>1</v>
      </c>
      <c r="K8" s="84">
        <f t="shared" si="0"/>
        <v>4</v>
      </c>
      <c r="L8" s="174"/>
      <c r="M8" s="179">
        <v>4</v>
      </c>
    </row>
    <row r="9" spans="1:15">
      <c r="A9" s="95" t="s">
        <v>22</v>
      </c>
      <c r="B9" s="21"/>
      <c r="C9" s="16">
        <v>102</v>
      </c>
      <c r="D9" s="23"/>
      <c r="E9" s="23"/>
      <c r="F9" s="23">
        <v>102.21</v>
      </c>
      <c r="G9" s="23">
        <v>2</v>
      </c>
      <c r="H9" s="74"/>
      <c r="I9" s="74"/>
      <c r="J9" s="74"/>
      <c r="K9" s="84">
        <f t="shared" si="0"/>
        <v>104.21</v>
      </c>
      <c r="L9" s="174"/>
      <c r="M9" s="179">
        <v>104</v>
      </c>
    </row>
    <row r="10" spans="1:15">
      <c r="A10" s="95" t="s">
        <v>23</v>
      </c>
      <c r="B10" s="10"/>
      <c r="C10" s="165">
        <v>0</v>
      </c>
      <c r="D10" s="23"/>
      <c r="E10" s="23"/>
      <c r="F10" s="23"/>
      <c r="G10" s="23">
        <f>200+400</f>
        <v>600</v>
      </c>
      <c r="H10" s="74"/>
      <c r="I10" s="74"/>
      <c r="J10" s="74"/>
      <c r="K10" s="84">
        <f t="shared" si="0"/>
        <v>600</v>
      </c>
      <c r="L10" s="179"/>
      <c r="M10" s="179"/>
    </row>
    <row r="11" spans="1:15">
      <c r="A11" s="95" t="s">
        <v>24</v>
      </c>
      <c r="B11" s="10"/>
      <c r="C11" s="165">
        <v>0</v>
      </c>
      <c r="D11" s="23"/>
      <c r="E11" s="23"/>
      <c r="F11" s="23"/>
      <c r="G11" s="23"/>
      <c r="H11" s="74"/>
      <c r="I11" s="74"/>
      <c r="J11" s="74"/>
      <c r="K11" s="84">
        <f t="shared" si="0"/>
        <v>0</v>
      </c>
      <c r="L11" s="179"/>
      <c r="M11" s="179"/>
    </row>
    <row r="12" spans="1:15">
      <c r="A12" s="95" t="s">
        <v>25</v>
      </c>
      <c r="B12" s="10"/>
      <c r="C12" s="165"/>
      <c r="D12" s="23"/>
      <c r="E12" s="23"/>
      <c r="F12" s="23"/>
      <c r="G12" s="23"/>
      <c r="H12" s="74"/>
      <c r="I12" s="74"/>
      <c r="J12" s="74"/>
      <c r="K12" s="84">
        <f t="shared" si="0"/>
        <v>0</v>
      </c>
      <c r="L12" s="179"/>
      <c r="M12" s="179"/>
      <c r="N12" s="86">
        <f>M17+L17</f>
        <v>12892</v>
      </c>
    </row>
    <row r="13" spans="1:15">
      <c r="A13" s="98" t="s">
        <v>26</v>
      </c>
      <c r="B13" s="10"/>
      <c r="C13" s="165"/>
      <c r="D13" s="23"/>
      <c r="E13" s="23"/>
      <c r="F13" s="23"/>
      <c r="G13" s="23"/>
      <c r="H13" s="74"/>
      <c r="I13" s="74"/>
      <c r="J13" s="74" t="e">
        <f>K51</f>
        <v>#REF!</v>
      </c>
      <c r="K13" s="84" t="e">
        <f t="shared" si="0"/>
        <v>#REF!</v>
      </c>
      <c r="L13" s="179"/>
      <c r="M13" s="179"/>
    </row>
    <row r="14" spans="1:15">
      <c r="A14" s="98" t="s">
        <v>27</v>
      </c>
      <c r="B14" s="21"/>
      <c r="C14" s="165"/>
      <c r="D14" s="23"/>
      <c r="E14" s="65"/>
      <c r="F14" s="23"/>
      <c r="G14" s="23">
        <v>7.5</v>
      </c>
      <c r="H14" s="74">
        <v>20</v>
      </c>
      <c r="I14" s="74"/>
      <c r="J14" s="74"/>
      <c r="K14" s="84">
        <f t="shared" si="0"/>
        <v>27.5</v>
      </c>
      <c r="L14" s="180"/>
      <c r="M14" s="180"/>
    </row>
    <row r="15" spans="1:15">
      <c r="A15" s="98" t="s">
        <v>28</v>
      </c>
      <c r="B15" s="21"/>
      <c r="C15" s="165"/>
      <c r="D15" s="23"/>
      <c r="E15" s="65"/>
      <c r="F15" s="23"/>
      <c r="G15" s="23">
        <v>130</v>
      </c>
      <c r="H15" s="74"/>
      <c r="I15" s="74"/>
      <c r="J15" s="74"/>
      <c r="K15" s="84">
        <f t="shared" si="0"/>
        <v>130</v>
      </c>
      <c r="L15" s="180"/>
      <c r="M15" s="180"/>
    </row>
    <row r="16" spans="1:15" ht="17.25">
      <c r="A16" s="100" t="s">
        <v>29</v>
      </c>
      <c r="B16" s="10" t="s">
        <v>30</v>
      </c>
      <c r="C16" s="165"/>
      <c r="E16" s="66"/>
      <c r="F16" s="23"/>
      <c r="G16" s="23"/>
      <c r="H16" s="74"/>
      <c r="I16" s="74"/>
      <c r="J16" s="74"/>
      <c r="K16" s="84">
        <f t="shared" si="0"/>
        <v>0</v>
      </c>
      <c r="L16" s="179"/>
      <c r="M16" s="179"/>
    </row>
    <row r="17" spans="1:15">
      <c r="A17" s="26" t="s">
        <v>31</v>
      </c>
      <c r="B17" s="10"/>
      <c r="C17" s="166" t="e">
        <f>SUM(C4:C16)</f>
        <v>#REF!</v>
      </c>
      <c r="D17" s="30">
        <f>SUM(D6:D15)</f>
        <v>0</v>
      </c>
      <c r="E17" s="30" t="e">
        <f t="shared" ref="E17:J17" si="1">SUM(E6:E16)</f>
        <v>#REF!</v>
      </c>
      <c r="F17" s="30">
        <f t="shared" si="1"/>
        <v>611.21</v>
      </c>
      <c r="G17" s="30">
        <f t="shared" si="1"/>
        <v>740.5</v>
      </c>
      <c r="H17" s="30">
        <f t="shared" si="1"/>
        <v>20</v>
      </c>
      <c r="I17" s="30">
        <f t="shared" si="1"/>
        <v>1</v>
      </c>
      <c r="J17" s="30" t="e">
        <f t="shared" si="1"/>
        <v>#REF!</v>
      </c>
      <c r="K17" s="12" t="e">
        <f>SUM(K4:K16)</f>
        <v>#REF!</v>
      </c>
      <c r="L17" s="176">
        <f>SUM(L4:L16)</f>
        <v>5230</v>
      </c>
      <c r="M17" s="176">
        <f>SUM(M4:M16)</f>
        <v>7662</v>
      </c>
      <c r="N17" s="86"/>
      <c r="O17" s="86"/>
    </row>
    <row r="18" spans="1:15">
      <c r="A18" s="19"/>
      <c r="B18" s="10"/>
      <c r="C18" s="165"/>
      <c r="D18" s="18"/>
      <c r="E18" s="18"/>
      <c r="F18" s="18"/>
      <c r="G18" s="18"/>
      <c r="H18" s="18"/>
      <c r="I18" s="18"/>
      <c r="J18" s="18"/>
      <c r="K18" s="18"/>
      <c r="L18" s="202" t="s">
        <v>32</v>
      </c>
      <c r="M18" s="203"/>
      <c r="N18" s="42"/>
      <c r="O18" s="86"/>
    </row>
    <row r="19" spans="1:15">
      <c r="A19" s="19"/>
      <c r="B19" s="10"/>
      <c r="C19" s="165"/>
      <c r="D19" s="112"/>
      <c r="E19" s="18"/>
      <c r="F19" s="18"/>
      <c r="G19" s="18"/>
      <c r="H19" s="18"/>
      <c r="I19" s="18"/>
      <c r="J19" s="18"/>
      <c r="K19" s="18"/>
      <c r="L19" s="181"/>
      <c r="M19" s="182"/>
      <c r="N19" s="42"/>
    </row>
    <row r="20" spans="1:15">
      <c r="A20" s="204" t="s">
        <v>33</v>
      </c>
      <c r="B20" s="205"/>
      <c r="C20" s="167"/>
      <c r="D20" s="55"/>
      <c r="E20" s="23"/>
      <c r="F20" s="23"/>
      <c r="G20" s="23"/>
      <c r="H20" s="23"/>
      <c r="I20" s="23"/>
      <c r="J20" s="23"/>
      <c r="K20" s="18"/>
      <c r="L20" s="183" t="s">
        <v>34</v>
      </c>
      <c r="M20" s="183" t="s">
        <v>35</v>
      </c>
    </row>
    <row r="21" spans="1:15">
      <c r="A21" s="10" t="s">
        <v>36</v>
      </c>
      <c r="B21" s="10" t="s">
        <v>37</v>
      </c>
      <c r="C21" s="16">
        <v>128</v>
      </c>
      <c r="D21" s="23"/>
      <c r="E21" s="23">
        <f>130</f>
        <v>130</v>
      </c>
      <c r="F21" s="23"/>
      <c r="G21" s="23"/>
      <c r="H21" s="74"/>
      <c r="I21" s="74"/>
      <c r="J21" s="74"/>
      <c r="K21" s="84">
        <f>SUM(D21:J21)</f>
        <v>130</v>
      </c>
      <c r="L21" s="179">
        <v>132</v>
      </c>
      <c r="M21" s="179"/>
    </row>
    <row r="22" spans="1:15" ht="17.25">
      <c r="A22" s="19" t="s">
        <v>38</v>
      </c>
      <c r="B22" s="10" t="s">
        <v>39</v>
      </c>
      <c r="C22" s="16">
        <v>250</v>
      </c>
      <c r="D22" s="23"/>
      <c r="E22" s="70"/>
      <c r="F22" s="23"/>
      <c r="G22" s="71"/>
      <c r="H22" s="74"/>
      <c r="I22" s="74"/>
      <c r="J22" s="74"/>
      <c r="K22" s="84">
        <f t="shared" ref="K22:K55" si="2">SUM(D22:J22)</f>
        <v>0</v>
      </c>
      <c r="L22" s="179"/>
      <c r="M22" s="179">
        <v>250</v>
      </c>
    </row>
    <row r="23" spans="1:15" ht="17.25">
      <c r="A23" s="19"/>
      <c r="B23" s="10" t="s">
        <v>40</v>
      </c>
      <c r="C23" s="16">
        <v>0</v>
      </c>
      <c r="D23" s="23"/>
      <c r="E23" s="70"/>
      <c r="F23" s="23"/>
      <c r="G23" s="23"/>
      <c r="H23" s="74"/>
      <c r="I23" s="74"/>
      <c r="J23" s="74"/>
      <c r="K23" s="84">
        <f t="shared" si="2"/>
        <v>0</v>
      </c>
      <c r="L23" s="179"/>
      <c r="M23" s="179"/>
    </row>
    <row r="24" spans="1:15" ht="17.25">
      <c r="A24" s="19"/>
      <c r="B24" s="10" t="s">
        <v>41</v>
      </c>
      <c r="C24" s="16">
        <v>0</v>
      </c>
      <c r="D24" s="23"/>
      <c r="E24" s="70"/>
      <c r="F24" s="23"/>
      <c r="H24" s="74">
        <v>500</v>
      </c>
      <c r="I24" s="74"/>
      <c r="J24" s="74"/>
      <c r="K24" s="84">
        <f t="shared" si="2"/>
        <v>500</v>
      </c>
      <c r="L24" s="179"/>
      <c r="M24" s="179">
        <v>0</v>
      </c>
    </row>
    <row r="25" spans="1:15">
      <c r="A25" s="19" t="s">
        <v>42</v>
      </c>
      <c r="B25" s="10" t="s">
        <v>43</v>
      </c>
      <c r="C25" s="16">
        <v>300</v>
      </c>
      <c r="D25" s="35"/>
      <c r="E25" s="23"/>
      <c r="F25" s="23"/>
      <c r="H25" s="74"/>
      <c r="I25" s="74">
        <v>300</v>
      </c>
      <c r="J25" s="74"/>
      <c r="K25" s="84">
        <f t="shared" si="2"/>
        <v>300</v>
      </c>
      <c r="L25" s="179"/>
      <c r="M25" s="179">
        <v>250</v>
      </c>
    </row>
    <row r="26" spans="1:15">
      <c r="A26" s="19"/>
      <c r="B26" s="10" t="s">
        <v>44</v>
      </c>
      <c r="C26" s="16">
        <v>50</v>
      </c>
      <c r="D26" s="35"/>
      <c r="E26" s="23"/>
      <c r="F26" s="23"/>
      <c r="H26" s="74">
        <v>50</v>
      </c>
      <c r="I26" s="74"/>
      <c r="J26" s="74"/>
      <c r="K26" s="84">
        <f t="shared" si="2"/>
        <v>50</v>
      </c>
      <c r="L26" s="179"/>
      <c r="M26" s="179">
        <v>50</v>
      </c>
    </row>
    <row r="27" spans="1:15">
      <c r="A27" s="19"/>
      <c r="B27" s="10" t="s">
        <v>45</v>
      </c>
      <c r="C27" s="16">
        <v>200</v>
      </c>
      <c r="D27" s="35"/>
      <c r="E27" s="23"/>
      <c r="F27" s="23"/>
      <c r="H27" s="74"/>
      <c r="I27" s="74">
        <v>200</v>
      </c>
      <c r="J27" s="74"/>
      <c r="K27" s="84">
        <f t="shared" si="2"/>
        <v>200</v>
      </c>
      <c r="L27" s="179"/>
      <c r="M27" s="179">
        <v>175</v>
      </c>
    </row>
    <row r="28" spans="1:15">
      <c r="A28" s="19"/>
      <c r="B28" s="10" t="s">
        <v>46</v>
      </c>
      <c r="C28" s="16">
        <v>100</v>
      </c>
      <c r="D28" s="35"/>
      <c r="E28" s="23"/>
      <c r="F28" s="23">
        <v>100</v>
      </c>
      <c r="G28" s="71"/>
      <c r="H28" s="74"/>
      <c r="I28" s="74"/>
      <c r="J28" s="74"/>
      <c r="K28" s="84">
        <f t="shared" si="2"/>
        <v>100</v>
      </c>
      <c r="L28" s="179"/>
      <c r="M28" s="179">
        <v>100</v>
      </c>
    </row>
    <row r="29" spans="1:15">
      <c r="A29" s="19"/>
      <c r="B29" s="10" t="s">
        <v>47</v>
      </c>
      <c r="C29" s="16">
        <v>200</v>
      </c>
      <c r="D29" s="35"/>
      <c r="E29" s="23"/>
      <c r="F29" s="23"/>
      <c r="G29" s="71"/>
      <c r="H29" s="74"/>
      <c r="I29" s="74"/>
      <c r="J29" s="74"/>
      <c r="K29" s="84">
        <f t="shared" si="2"/>
        <v>0</v>
      </c>
      <c r="L29" s="179"/>
      <c r="M29" s="179">
        <v>0</v>
      </c>
    </row>
    <row r="30" spans="1:15">
      <c r="A30" s="10" t="s">
        <v>48</v>
      </c>
      <c r="B30" s="10" t="s">
        <v>49</v>
      </c>
      <c r="C30" s="16">
        <v>330</v>
      </c>
      <c r="D30" s="35"/>
      <c r="E30" s="23" t="e">
        <f>#REF!</f>
        <v>#REF!</v>
      </c>
      <c r="F30" s="23"/>
      <c r="G30" s="23"/>
      <c r="H30" s="74"/>
      <c r="I30" s="74"/>
      <c r="J30" s="74"/>
      <c r="K30" s="84" t="e">
        <f t="shared" si="2"/>
        <v>#REF!</v>
      </c>
      <c r="L30" s="179">
        <v>352</v>
      </c>
      <c r="M30" s="179"/>
    </row>
    <row r="31" spans="1:15">
      <c r="A31" s="10"/>
      <c r="B31" s="10" t="s">
        <v>50</v>
      </c>
      <c r="C31" s="16">
        <f>423+31</f>
        <v>454</v>
      </c>
      <c r="D31" s="35"/>
      <c r="E31" s="23" t="e">
        <f>#REF!</f>
        <v>#REF!</v>
      </c>
      <c r="F31" s="23"/>
      <c r="G31" s="23"/>
      <c r="H31" s="74"/>
      <c r="I31" s="74"/>
      <c r="J31" s="74"/>
      <c r="K31" s="84" t="e">
        <f t="shared" si="2"/>
        <v>#REF!</v>
      </c>
      <c r="L31" s="179">
        <v>0</v>
      </c>
      <c r="M31" s="179">
        <v>481</v>
      </c>
    </row>
    <row r="32" spans="1:15">
      <c r="A32" s="10"/>
      <c r="B32" s="10" t="s">
        <v>29</v>
      </c>
      <c r="C32" s="16">
        <f>151+5</f>
        <v>156</v>
      </c>
      <c r="D32" s="35"/>
      <c r="E32" s="23" t="e">
        <f>#REF!</f>
        <v>#REF!</v>
      </c>
      <c r="F32" s="23"/>
      <c r="G32" s="23"/>
      <c r="H32" s="74"/>
      <c r="I32" s="74"/>
      <c r="J32" s="74"/>
      <c r="K32" s="84" t="e">
        <f t="shared" si="2"/>
        <v>#REF!</v>
      </c>
      <c r="L32" s="179">
        <v>172</v>
      </c>
      <c r="M32" s="184"/>
    </row>
    <row r="33" spans="1:15">
      <c r="A33" s="10" t="s">
        <v>51</v>
      </c>
      <c r="B33" s="10" t="s">
        <v>52</v>
      </c>
      <c r="C33" s="16">
        <v>1823</v>
      </c>
      <c r="D33" s="35"/>
      <c r="E33" s="23" t="e">
        <f>#REF!</f>
        <v>#REF!</v>
      </c>
      <c r="F33" s="23">
        <v>250</v>
      </c>
      <c r="G33" s="17">
        <f>153+418</f>
        <v>571</v>
      </c>
      <c r="H33" s="73">
        <f>153*2</f>
        <v>306</v>
      </c>
      <c r="I33" s="74">
        <v>306</v>
      </c>
      <c r="J33" s="74"/>
      <c r="K33" s="84" t="e">
        <f t="shared" si="2"/>
        <v>#REF!</v>
      </c>
      <c r="L33" s="179">
        <v>1843</v>
      </c>
      <c r="M33" s="179"/>
    </row>
    <row r="34" spans="1:15">
      <c r="A34" s="19"/>
      <c r="B34" s="10" t="s">
        <v>53</v>
      </c>
      <c r="C34" s="16">
        <v>60</v>
      </c>
      <c r="D34" s="35"/>
      <c r="E34" s="23">
        <f>59.95</f>
        <v>59.95</v>
      </c>
      <c r="F34" s="23"/>
      <c r="G34" s="23"/>
      <c r="H34" s="74"/>
      <c r="I34" s="74"/>
      <c r="J34" s="74"/>
      <c r="K34" s="84">
        <f t="shared" si="2"/>
        <v>59.95</v>
      </c>
      <c r="L34" s="179">
        <v>205</v>
      </c>
      <c r="M34" s="179"/>
    </row>
    <row r="35" spans="1:15">
      <c r="A35" s="10"/>
      <c r="B35" s="10" t="s">
        <v>54</v>
      </c>
      <c r="C35" s="16">
        <v>100</v>
      </c>
      <c r="D35" s="35"/>
      <c r="E35" s="23"/>
      <c r="F35" s="23" t="e">
        <f>#REF!</f>
        <v>#REF!</v>
      </c>
      <c r="G35" s="23">
        <v>153.1</v>
      </c>
      <c r="H35" s="74">
        <v>153.1</v>
      </c>
      <c r="I35" s="74"/>
      <c r="J35" s="74"/>
      <c r="K35" s="84" t="e">
        <f t="shared" si="2"/>
        <v>#REF!</v>
      </c>
      <c r="L35" s="179">
        <f>70+94</f>
        <v>164</v>
      </c>
      <c r="M35" s="185"/>
    </row>
    <row r="36" spans="1:15">
      <c r="A36" s="10"/>
      <c r="B36" s="10" t="s">
        <v>55</v>
      </c>
      <c r="C36" s="16">
        <v>0</v>
      </c>
      <c r="D36" s="35"/>
      <c r="E36" s="23"/>
      <c r="F36" s="23"/>
      <c r="G36" s="23"/>
      <c r="H36" s="74"/>
      <c r="I36" s="74"/>
      <c r="J36" s="74"/>
      <c r="K36" s="84">
        <f t="shared" si="2"/>
        <v>0</v>
      </c>
      <c r="L36" s="179">
        <v>220</v>
      </c>
      <c r="M36" s="179"/>
    </row>
    <row r="37" spans="1:15">
      <c r="A37" s="19"/>
      <c r="B37" s="10" t="s">
        <v>56</v>
      </c>
      <c r="C37" s="16">
        <v>355</v>
      </c>
      <c r="D37" s="35"/>
      <c r="E37" s="23"/>
      <c r="F37" s="23"/>
      <c r="G37" s="71"/>
      <c r="H37" s="74"/>
      <c r="I37" s="74"/>
      <c r="J37" s="74">
        <v>355</v>
      </c>
      <c r="K37" s="84">
        <f t="shared" si="2"/>
        <v>355</v>
      </c>
      <c r="L37" s="179"/>
      <c r="M37" s="174">
        <v>355</v>
      </c>
      <c r="O37" s="45"/>
    </row>
    <row r="38" spans="1:15">
      <c r="A38" s="10" t="s">
        <v>57</v>
      </c>
      <c r="B38" s="10" t="s">
        <v>58</v>
      </c>
      <c r="C38" s="16">
        <v>1883</v>
      </c>
      <c r="D38" s="17">
        <v>158.01</v>
      </c>
      <c r="E38" s="23" t="e">
        <f>#REF!</f>
        <v>#REF!</v>
      </c>
      <c r="F38" s="23"/>
      <c r="G38" s="17">
        <v>379.23</v>
      </c>
      <c r="H38" s="74"/>
      <c r="I38" s="74">
        <v>379.23</v>
      </c>
      <c r="J38" s="74">
        <v>379.23</v>
      </c>
      <c r="K38" s="84" t="e">
        <f t="shared" si="2"/>
        <v>#REF!</v>
      </c>
      <c r="L38" s="179">
        <v>1933</v>
      </c>
      <c r="M38" s="179"/>
    </row>
    <row r="39" spans="1:15">
      <c r="A39" s="19"/>
      <c r="B39" s="10" t="s">
        <v>59</v>
      </c>
      <c r="C39" s="16">
        <v>80</v>
      </c>
      <c r="D39" s="35"/>
      <c r="E39" s="23"/>
      <c r="F39" s="23"/>
      <c r="G39" s="23">
        <v>40</v>
      </c>
      <c r="H39" s="74"/>
      <c r="I39" s="74"/>
      <c r="J39" s="74">
        <v>40</v>
      </c>
      <c r="K39" s="84">
        <f t="shared" si="2"/>
        <v>80</v>
      </c>
      <c r="L39" s="179">
        <v>80</v>
      </c>
      <c r="M39" s="179"/>
    </row>
    <row r="40" spans="1:15">
      <c r="A40" s="19" t="s">
        <v>60</v>
      </c>
      <c r="B40" s="10" t="s">
        <v>61</v>
      </c>
      <c r="C40" s="16">
        <v>0</v>
      </c>
      <c r="D40" s="35"/>
      <c r="E40" s="23" t="e">
        <f>#REF!</f>
        <v>#REF!</v>
      </c>
      <c r="F40" s="23"/>
      <c r="G40" s="17">
        <v>94.8</v>
      </c>
      <c r="H40" s="74"/>
      <c r="I40" s="74">
        <v>94.8</v>
      </c>
      <c r="J40" s="74">
        <v>94.8</v>
      </c>
      <c r="K40" s="84" t="e">
        <f t="shared" si="2"/>
        <v>#REF!</v>
      </c>
      <c r="L40" s="179"/>
      <c r="M40" s="179"/>
    </row>
    <row r="41" spans="1:15">
      <c r="A41" s="10" t="s">
        <v>62</v>
      </c>
      <c r="B41" s="10" t="s">
        <v>63</v>
      </c>
      <c r="C41" s="16">
        <v>100</v>
      </c>
      <c r="D41" s="35"/>
      <c r="E41" s="23"/>
      <c r="F41" s="23">
        <v>100</v>
      </c>
      <c r="G41" s="23"/>
      <c r="H41" s="74"/>
      <c r="I41" s="74"/>
      <c r="J41" s="74"/>
      <c r="K41" s="84">
        <f t="shared" si="2"/>
        <v>100</v>
      </c>
      <c r="L41" s="179">
        <v>100</v>
      </c>
      <c r="M41" s="179"/>
    </row>
    <row r="42" spans="1:15">
      <c r="A42" s="10"/>
      <c r="B42" s="10" t="s">
        <v>64</v>
      </c>
      <c r="C42" s="16">
        <v>100</v>
      </c>
      <c r="D42" s="35"/>
      <c r="E42" s="23" t="e">
        <f>1.24+6.48+13.41+3.47+#REF!</f>
        <v>#REF!</v>
      </c>
      <c r="F42" s="23">
        <v>15</v>
      </c>
      <c r="G42" s="23">
        <f>3.78+7.56+0.95+0.95+17+13.32+7.56</f>
        <v>51.120000000000005</v>
      </c>
      <c r="H42" s="74"/>
      <c r="I42" s="74">
        <v>17</v>
      </c>
      <c r="J42" s="74">
        <f>17+7.56+7.56</f>
        <v>32.119999999999997</v>
      </c>
      <c r="K42" s="84" t="e">
        <f t="shared" si="2"/>
        <v>#REF!</v>
      </c>
      <c r="L42" s="179">
        <v>150</v>
      </c>
      <c r="M42" s="179"/>
    </row>
    <row r="43" spans="1:15">
      <c r="A43" s="10"/>
      <c r="B43" s="10" t="s">
        <v>24</v>
      </c>
      <c r="C43" s="16">
        <v>75</v>
      </c>
      <c r="D43" s="35"/>
      <c r="E43" s="23"/>
      <c r="F43" s="23"/>
      <c r="G43" s="23"/>
      <c r="H43" s="74"/>
      <c r="I43" s="74"/>
      <c r="J43" s="74">
        <v>150</v>
      </c>
      <c r="K43" s="84">
        <f t="shared" si="2"/>
        <v>150</v>
      </c>
      <c r="L43" s="179">
        <v>150</v>
      </c>
      <c r="M43" s="179">
        <v>0</v>
      </c>
    </row>
    <row r="44" spans="1:15">
      <c r="A44" s="10" t="s">
        <v>65</v>
      </c>
      <c r="B44" s="10" t="s">
        <v>66</v>
      </c>
      <c r="C44" s="16">
        <v>80</v>
      </c>
      <c r="D44" s="35"/>
      <c r="E44" s="23">
        <v>36.49</v>
      </c>
      <c r="F44" s="23"/>
      <c r="G44" s="55"/>
      <c r="H44" s="74">
        <v>36.49</v>
      </c>
      <c r="I44" s="74"/>
      <c r="J44" s="74"/>
      <c r="K44" s="84">
        <f t="shared" si="2"/>
        <v>72.98</v>
      </c>
      <c r="L44" s="179">
        <v>80</v>
      </c>
      <c r="M44" s="179"/>
    </row>
    <row r="45" spans="1:15">
      <c r="A45" s="10"/>
      <c r="B45" s="10" t="s">
        <v>67</v>
      </c>
      <c r="C45" s="16">
        <v>0</v>
      </c>
      <c r="D45" s="35"/>
      <c r="E45" s="23"/>
      <c r="F45" s="23"/>
      <c r="G45" s="23"/>
      <c r="H45" s="74"/>
      <c r="I45" s="74"/>
      <c r="J45" s="74"/>
      <c r="K45" s="84">
        <f t="shared" si="2"/>
        <v>0</v>
      </c>
      <c r="L45" s="179">
        <v>0</v>
      </c>
      <c r="M45" s="179"/>
    </row>
    <row r="46" spans="1:15">
      <c r="A46" s="10" t="s">
        <v>68</v>
      </c>
      <c r="B46" s="20"/>
      <c r="C46" s="168">
        <v>105</v>
      </c>
      <c r="D46" s="35"/>
      <c r="E46" s="23">
        <v>14</v>
      </c>
      <c r="F46" s="23"/>
      <c r="G46" s="55"/>
      <c r="H46" s="74">
        <v>14</v>
      </c>
      <c r="I46" s="74">
        <v>14</v>
      </c>
      <c r="J46" s="74">
        <v>14</v>
      </c>
      <c r="K46" s="84">
        <f t="shared" si="2"/>
        <v>56</v>
      </c>
      <c r="L46" s="179">
        <v>63</v>
      </c>
      <c r="M46" s="186"/>
    </row>
    <row r="47" spans="1:15">
      <c r="A47" s="10" t="s">
        <v>69</v>
      </c>
      <c r="B47" s="10"/>
      <c r="C47" s="16">
        <f>80*4</f>
        <v>320</v>
      </c>
      <c r="D47" s="35"/>
      <c r="E47" s="23"/>
      <c r="F47" s="23">
        <f>79.94</f>
        <v>79.94</v>
      </c>
      <c r="G47" s="23">
        <v>79.94</v>
      </c>
      <c r="H47" s="74"/>
      <c r="I47" s="74">
        <v>80</v>
      </c>
      <c r="J47" s="74">
        <v>80</v>
      </c>
      <c r="K47" s="84">
        <f t="shared" si="2"/>
        <v>319.88</v>
      </c>
      <c r="L47" s="179">
        <f>80*3</f>
        <v>240</v>
      </c>
      <c r="M47" s="174"/>
    </row>
    <row r="48" spans="1:15">
      <c r="A48" s="10" t="s">
        <v>70</v>
      </c>
      <c r="B48" s="10" t="s">
        <v>71</v>
      </c>
      <c r="C48" s="16">
        <v>500</v>
      </c>
      <c r="D48" s="35"/>
      <c r="E48" s="23"/>
      <c r="F48" s="23"/>
      <c r="G48" s="23"/>
      <c r="H48" s="74"/>
      <c r="I48" s="74"/>
      <c r="J48" s="74">
        <v>500</v>
      </c>
      <c r="K48" s="84">
        <f t="shared" si="2"/>
        <v>500</v>
      </c>
      <c r="L48" s="179">
        <v>140</v>
      </c>
      <c r="M48" s="179"/>
    </row>
    <row r="49" spans="1:13">
      <c r="A49" s="10" t="s">
        <v>72</v>
      </c>
      <c r="B49" s="10"/>
      <c r="C49" s="16">
        <v>35</v>
      </c>
      <c r="D49" s="35"/>
      <c r="E49" s="23"/>
      <c r="F49" s="23">
        <v>35</v>
      </c>
      <c r="G49" s="23"/>
      <c r="H49" s="74"/>
      <c r="I49" s="74"/>
      <c r="J49" s="74"/>
      <c r="K49" s="84">
        <f t="shared" si="2"/>
        <v>35</v>
      </c>
      <c r="L49" s="179">
        <v>35</v>
      </c>
      <c r="M49" s="179"/>
    </row>
    <row r="50" spans="1:13">
      <c r="A50" s="10" t="s">
        <v>73</v>
      </c>
      <c r="B50" s="10" t="s">
        <v>74</v>
      </c>
      <c r="C50" s="16">
        <v>100</v>
      </c>
      <c r="D50" s="35"/>
      <c r="E50" s="23"/>
      <c r="F50" s="23"/>
      <c r="G50" s="23">
        <v>78.37</v>
      </c>
      <c r="H50" s="74"/>
      <c r="I50" s="74"/>
      <c r="J50" s="120"/>
      <c r="K50" s="84">
        <f>SUM(D50:I50)</f>
        <v>78.37</v>
      </c>
      <c r="L50" s="179">
        <v>80</v>
      </c>
      <c r="M50" s="179"/>
    </row>
    <row r="51" spans="1:13">
      <c r="A51" s="24" t="s">
        <v>26</v>
      </c>
      <c r="B51" s="24" t="s">
        <v>75</v>
      </c>
      <c r="C51" s="168">
        <v>0</v>
      </c>
      <c r="D51" s="35"/>
      <c r="E51" s="23" t="e">
        <f>#REF!+#REF!</f>
        <v>#REF!</v>
      </c>
      <c r="F51" s="23" t="e">
        <f>#REF!+#REF!+#REF!</f>
        <v>#REF!</v>
      </c>
      <c r="G51" s="23">
        <f>30.62+30.6+83.6</f>
        <v>144.82</v>
      </c>
      <c r="H51" s="74">
        <f>30.6*2+47.8</f>
        <v>109</v>
      </c>
      <c r="I51" s="74">
        <f>30.6*2</f>
        <v>61.2</v>
      </c>
      <c r="J51" s="74"/>
      <c r="K51" s="84" t="e">
        <f t="shared" si="2"/>
        <v>#REF!</v>
      </c>
      <c r="L51" s="179"/>
      <c r="M51" s="186"/>
    </row>
    <row r="52" spans="1:13">
      <c r="A52" s="24" t="s">
        <v>76</v>
      </c>
      <c r="B52" s="24"/>
      <c r="C52" s="168">
        <v>0</v>
      </c>
      <c r="D52" s="35"/>
      <c r="E52" s="23"/>
      <c r="F52" s="23"/>
      <c r="G52" s="55"/>
      <c r="H52" s="74">
        <v>239</v>
      </c>
      <c r="I52" s="74"/>
      <c r="J52" s="74"/>
      <c r="K52" s="84">
        <f t="shared" si="2"/>
        <v>239</v>
      </c>
      <c r="L52" s="179"/>
      <c r="M52" s="186"/>
    </row>
    <row r="53" spans="1:13">
      <c r="A53" s="24" t="s">
        <v>77</v>
      </c>
      <c r="B53" s="24" t="s">
        <v>78</v>
      </c>
      <c r="C53" s="168">
        <v>12</v>
      </c>
      <c r="D53" s="35"/>
      <c r="E53" s="23"/>
      <c r="F53" s="23"/>
      <c r="G53" s="71"/>
      <c r="H53" s="74"/>
      <c r="I53" s="74"/>
      <c r="J53" s="74">
        <v>12</v>
      </c>
      <c r="K53" s="84">
        <f t="shared" si="2"/>
        <v>12</v>
      </c>
      <c r="L53" s="179">
        <v>12</v>
      </c>
      <c r="M53" s="186">
        <v>0</v>
      </c>
    </row>
    <row r="54" spans="1:13">
      <c r="A54" s="10" t="s">
        <v>79</v>
      </c>
      <c r="B54" s="10"/>
      <c r="C54" s="16">
        <v>500</v>
      </c>
      <c r="D54" s="35"/>
      <c r="E54" s="23"/>
      <c r="F54" s="23"/>
      <c r="G54" s="71"/>
      <c r="H54" s="74"/>
      <c r="I54" s="74"/>
      <c r="J54" s="74"/>
      <c r="K54" s="84">
        <f t="shared" si="2"/>
        <v>0</v>
      </c>
      <c r="L54" s="174"/>
      <c r="M54" s="179">
        <v>250</v>
      </c>
    </row>
    <row r="55" spans="1:13">
      <c r="A55" s="36" t="s">
        <v>80</v>
      </c>
      <c r="B55" s="10"/>
      <c r="C55" s="169">
        <f t="shared" ref="C55:J55" si="3">SUM(C21:C54)</f>
        <v>8396</v>
      </c>
      <c r="D55" s="30">
        <f t="shared" si="3"/>
        <v>158.01</v>
      </c>
      <c r="E55" s="30" t="e">
        <f t="shared" si="3"/>
        <v>#REF!</v>
      </c>
      <c r="F55" s="30" t="e">
        <f t="shared" si="3"/>
        <v>#REF!</v>
      </c>
      <c r="G55" s="30">
        <f t="shared" si="3"/>
        <v>1592.3799999999999</v>
      </c>
      <c r="H55" s="30">
        <f t="shared" si="3"/>
        <v>1407.59</v>
      </c>
      <c r="I55" s="30">
        <f t="shared" si="3"/>
        <v>1452.23</v>
      </c>
      <c r="J55" s="30">
        <f t="shared" si="3"/>
        <v>1657.15</v>
      </c>
      <c r="K55" s="85" t="e">
        <f t="shared" si="2"/>
        <v>#REF!</v>
      </c>
      <c r="L55" s="179">
        <f>SUM(L21:L54)</f>
        <v>6151</v>
      </c>
      <c r="M55" s="179">
        <f>SUM(M21:M54)</f>
        <v>1911</v>
      </c>
    </row>
    <row r="56" spans="1:13">
      <c r="A56" s="52"/>
      <c r="B56" s="53"/>
      <c r="C56" s="170"/>
      <c r="D56" s="18"/>
      <c r="E56" s="52"/>
      <c r="F56" s="52"/>
      <c r="G56" s="52"/>
      <c r="H56" s="52"/>
      <c r="I56" s="52"/>
      <c r="J56" s="52"/>
      <c r="K56" s="52"/>
      <c r="L56" s="199" t="s">
        <v>81</v>
      </c>
      <c r="M56" s="199"/>
    </row>
    <row r="57" spans="1:13">
      <c r="A57" s="109"/>
      <c r="B57" s="110"/>
      <c r="C57" s="171"/>
      <c r="D57" s="109"/>
      <c r="E57" s="109"/>
      <c r="F57" s="109"/>
      <c r="G57" s="112"/>
      <c r="H57" s="109"/>
      <c r="I57" s="109"/>
      <c r="J57" s="109"/>
      <c r="K57" s="138"/>
      <c r="L57" s="111"/>
      <c r="M57" s="81"/>
    </row>
    <row r="58" spans="1:13">
      <c r="A58" s="109"/>
      <c r="B58" s="139" t="s">
        <v>82</v>
      </c>
      <c r="C58" s="40"/>
      <c r="D58" s="109"/>
      <c r="E58" s="109"/>
      <c r="F58" s="109"/>
      <c r="G58" s="109"/>
      <c r="H58" s="109"/>
      <c r="I58" s="109"/>
      <c r="J58" s="139" t="s">
        <v>83</v>
      </c>
      <c r="K58" s="40"/>
      <c r="L58" s="109"/>
    </row>
    <row r="59" spans="1:13">
      <c r="A59" s="109"/>
      <c r="B59" s="56" t="s">
        <v>84</v>
      </c>
      <c r="C59" s="140" t="e">
        <f>C4+C5</f>
        <v>#REF!</v>
      </c>
      <c r="D59" s="109"/>
      <c r="E59" s="109"/>
      <c r="F59" s="112"/>
      <c r="G59" s="109"/>
      <c r="H59" s="109"/>
      <c r="I59" s="109"/>
      <c r="J59" s="56" t="s">
        <v>84</v>
      </c>
      <c r="K59" s="140">
        <f>M4</f>
        <v>7554</v>
      </c>
      <c r="L59" s="109"/>
    </row>
    <row r="60" spans="1:13">
      <c r="A60" s="109"/>
      <c r="B60" s="56" t="s">
        <v>85</v>
      </c>
      <c r="C60" s="140" t="e">
        <f>K17-K5-K4</f>
        <v>#REF!</v>
      </c>
      <c r="D60" s="154"/>
      <c r="E60" s="172"/>
      <c r="F60" s="112"/>
      <c r="G60" s="109"/>
      <c r="H60" s="109"/>
      <c r="I60" s="109"/>
      <c r="J60" s="56" t="s">
        <v>85</v>
      </c>
      <c r="K60" s="111">
        <f>L17+M8+M9</f>
        <v>5338</v>
      </c>
      <c r="L60" s="109"/>
    </row>
    <row r="61" spans="1:13">
      <c r="A61" s="109"/>
      <c r="B61" s="56" t="s">
        <v>86</v>
      </c>
      <c r="C61" s="140" t="e">
        <f>K55</f>
        <v>#REF!</v>
      </c>
      <c r="D61" s="109"/>
      <c r="E61" s="172"/>
      <c r="F61" s="109"/>
      <c r="G61" s="109"/>
      <c r="H61" s="109"/>
      <c r="I61" s="109"/>
      <c r="J61" s="56" t="s">
        <v>86</v>
      </c>
      <c r="K61" s="140">
        <f>L55+M55</f>
        <v>8062</v>
      </c>
      <c r="L61" s="109"/>
    </row>
    <row r="62" spans="1:13" ht="17.25">
      <c r="A62" s="109"/>
      <c r="B62" s="56" t="s">
        <v>87</v>
      </c>
      <c r="C62" s="142" t="e">
        <f>C59+C60-C61</f>
        <v>#REF!</v>
      </c>
      <c r="D62" s="109"/>
      <c r="E62" s="118"/>
      <c r="F62" s="109"/>
      <c r="G62" s="109"/>
      <c r="H62" s="141"/>
      <c r="I62" s="109"/>
      <c r="J62" s="56" t="s">
        <v>87</v>
      </c>
      <c r="K62" s="142">
        <f>K59+K60-K61</f>
        <v>4830</v>
      </c>
      <c r="L62" s="118"/>
    </row>
    <row r="63" spans="1:13">
      <c r="A63" s="109"/>
      <c r="B63" s="139" t="s">
        <v>88</v>
      </c>
      <c r="C63" s="140"/>
      <c r="D63" s="109"/>
      <c r="E63" s="109"/>
      <c r="F63" s="109"/>
      <c r="G63" s="109"/>
      <c r="H63" s="109"/>
      <c r="I63" s="109"/>
      <c r="J63" s="139" t="s">
        <v>88</v>
      </c>
      <c r="K63" s="140"/>
      <c r="L63" s="109"/>
    </row>
    <row r="64" spans="1:13">
      <c r="A64" s="109"/>
      <c r="B64" s="56" t="s">
        <v>89</v>
      </c>
      <c r="C64" s="140">
        <v>100</v>
      </c>
      <c r="D64" s="109"/>
      <c r="E64" s="109"/>
      <c r="F64" s="109"/>
      <c r="G64" s="109"/>
      <c r="H64" s="109"/>
      <c r="I64" s="109"/>
      <c r="J64" s="56" t="s">
        <v>89</v>
      </c>
      <c r="K64" s="140">
        <v>100</v>
      </c>
      <c r="L64" s="109"/>
    </row>
    <row r="65" spans="1:13">
      <c r="A65" s="109"/>
      <c r="B65" s="56" t="s">
        <v>90</v>
      </c>
      <c r="C65" s="140">
        <f>6489.73-100-1294.78</f>
        <v>5094.95</v>
      </c>
      <c r="D65" s="118">
        <f>6247-C65-C64</f>
        <v>1052.0500000000002</v>
      </c>
      <c r="E65" s="109"/>
      <c r="F65" s="109"/>
      <c r="G65" s="109"/>
      <c r="H65" s="109"/>
      <c r="I65" s="109"/>
      <c r="J65" s="56" t="s">
        <v>90</v>
      </c>
      <c r="K65" s="140">
        <f>4514.73-1062.78-100</f>
        <v>3351.95</v>
      </c>
      <c r="L65" s="118">
        <f>K62-K67</f>
        <v>315.27000000000044</v>
      </c>
    </row>
    <row r="66" spans="1:13">
      <c r="A66" s="109"/>
      <c r="B66" s="56" t="s">
        <v>91</v>
      </c>
      <c r="C66" s="140">
        <f>1533.78-H52</f>
        <v>1294.78</v>
      </c>
      <c r="D66" s="109"/>
      <c r="E66" s="109"/>
      <c r="F66" s="109"/>
      <c r="G66" s="109"/>
      <c r="H66" s="109"/>
      <c r="I66" s="109"/>
      <c r="J66" s="56" t="s">
        <v>91</v>
      </c>
      <c r="K66" s="140">
        <f>1294.78-60-172</f>
        <v>1062.78</v>
      </c>
      <c r="L66" s="109"/>
    </row>
    <row r="67" spans="1:13" ht="17.25">
      <c r="A67" s="56"/>
      <c r="B67" s="171"/>
      <c r="C67" s="187">
        <f>SUM(C64:C66)</f>
        <v>6489.73</v>
      </c>
      <c r="D67" s="109"/>
      <c r="E67" s="109"/>
      <c r="F67" s="109"/>
      <c r="G67" s="109"/>
      <c r="H67" s="109"/>
      <c r="I67" s="109"/>
      <c r="J67" s="154"/>
      <c r="K67" s="142">
        <f>SUM(K64:K66)</f>
        <v>4514.7299999999996</v>
      </c>
      <c r="L67" s="109"/>
      <c r="M67" s="46"/>
    </row>
    <row r="68" spans="1:13">
      <c r="A68" s="109"/>
      <c r="B68" s="110"/>
      <c r="C68" s="110"/>
      <c r="D68" s="109"/>
      <c r="E68" s="109"/>
      <c r="F68" s="109"/>
      <c r="G68" s="109"/>
      <c r="H68" s="109"/>
      <c r="I68" s="109"/>
      <c r="J68" s="109"/>
      <c r="K68" s="109"/>
      <c r="L68" s="110"/>
      <c r="M68" s="55"/>
    </row>
    <row r="69" spans="1:13">
      <c r="A69" s="188"/>
      <c r="B69" s="149"/>
      <c r="C69" s="149"/>
      <c r="D69" s="154"/>
      <c r="E69" s="109"/>
      <c r="F69" s="109"/>
      <c r="G69" s="109"/>
      <c r="H69" s="109"/>
      <c r="I69" s="109"/>
      <c r="J69" s="109"/>
      <c r="K69" s="109"/>
      <c r="L69" s="149"/>
      <c r="M69" s="48"/>
    </row>
    <row r="70" spans="1:13">
      <c r="A70" s="109"/>
      <c r="B70" s="110"/>
      <c r="C70" s="110"/>
      <c r="D70" s="109"/>
      <c r="E70" s="109"/>
      <c r="F70" s="109"/>
      <c r="G70" s="150"/>
      <c r="H70" s="109"/>
      <c r="I70" s="109"/>
      <c r="J70" s="109"/>
      <c r="K70" s="109"/>
      <c r="L70" s="110"/>
      <c r="M70" s="55"/>
    </row>
    <row r="71" spans="1:13">
      <c r="G71" s="46"/>
    </row>
  </sheetData>
  <mergeCells count="6">
    <mergeCell ref="L56:M56"/>
    <mergeCell ref="A2:B2"/>
    <mergeCell ref="D2:J2"/>
    <mergeCell ref="L2:M2"/>
    <mergeCell ref="L18:M18"/>
    <mergeCell ref="A20:B20"/>
  </mergeCells>
  <pageMargins left="0.69930555555555596" right="0.69930555555555596" top="0.75" bottom="0.75" header="0.3" footer="0.3"/>
  <pageSetup paperSize="9" scale="4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08"/>
  <sheetViews>
    <sheetView tabSelected="1" workbookViewId="0">
      <selection activeCell="M35" sqref="M35"/>
    </sheetView>
  </sheetViews>
  <sheetFormatPr defaultColWidth="9" defaultRowHeight="15"/>
  <cols>
    <col min="1" max="1" width="7.140625" customWidth="1"/>
    <col min="2" max="2" width="28.140625" customWidth="1"/>
    <col min="3" max="4" width="9.5703125" bestFit="1" customWidth="1"/>
    <col min="5" max="5" width="10.7109375" customWidth="1"/>
    <col min="6" max="6" width="13.5703125" customWidth="1"/>
    <col min="7" max="7" width="7.85546875" bestFit="1" customWidth="1"/>
    <col min="8" max="8" width="9.42578125" customWidth="1"/>
    <col min="9" max="9" width="7.28515625" bestFit="1" customWidth="1"/>
    <col min="10" max="10" width="10.28515625" bestFit="1" customWidth="1"/>
    <col min="11" max="11" width="9.28515625" customWidth="1"/>
    <col min="12" max="12" width="12.140625" customWidth="1"/>
    <col min="13" max="13" width="9.5703125" customWidth="1"/>
    <col min="14" max="14" width="10.7109375" customWidth="1"/>
    <col min="15" max="15" width="16" customWidth="1"/>
    <col min="16" max="242" width="9.140625"/>
    <col min="243" max="243" width="7.140625" customWidth="1"/>
    <col min="244" max="244" width="28.140625" customWidth="1"/>
    <col min="245" max="245" width="5.7109375" customWidth="1"/>
    <col min="246" max="246" width="5.5703125" customWidth="1"/>
    <col min="247" max="266" width="9.7109375" customWidth="1"/>
    <col min="267" max="267" width="9.28515625" customWidth="1"/>
    <col min="268" max="268" width="12.140625" customWidth="1"/>
    <col min="269" max="269" width="9.5703125" customWidth="1"/>
    <col min="270" max="270" width="10.7109375" customWidth="1"/>
    <col min="271" max="271" width="16" customWidth="1"/>
    <col min="272" max="498" width="9.140625"/>
    <col min="499" max="499" width="7.140625" customWidth="1"/>
    <col min="500" max="500" width="28.140625" customWidth="1"/>
    <col min="501" max="501" width="5.7109375" customWidth="1"/>
    <col min="502" max="502" width="5.5703125" customWidth="1"/>
    <col min="503" max="522" width="9.7109375" customWidth="1"/>
    <col min="523" max="523" width="9.28515625" customWidth="1"/>
    <col min="524" max="524" width="12.140625" customWidth="1"/>
    <col min="525" max="525" width="9.5703125" customWidth="1"/>
    <col min="526" max="526" width="10.7109375" customWidth="1"/>
    <col min="527" max="527" width="16" customWidth="1"/>
    <col min="528" max="754" width="9.140625"/>
    <col min="755" max="755" width="7.140625" customWidth="1"/>
    <col min="756" max="756" width="28.140625" customWidth="1"/>
    <col min="757" max="757" width="5.7109375" customWidth="1"/>
    <col min="758" max="758" width="5.5703125" customWidth="1"/>
    <col min="759" max="778" width="9.7109375" customWidth="1"/>
    <col min="779" max="779" width="9.28515625" customWidth="1"/>
    <col min="780" max="780" width="12.140625" customWidth="1"/>
    <col min="781" max="781" width="9.5703125" customWidth="1"/>
    <col min="782" max="782" width="10.7109375" customWidth="1"/>
    <col min="783" max="783" width="16" customWidth="1"/>
    <col min="784" max="1010" width="9.140625"/>
    <col min="1011" max="1011" width="7.140625" customWidth="1"/>
    <col min="1012" max="1012" width="28.140625" customWidth="1"/>
    <col min="1013" max="1013" width="5.7109375" customWidth="1"/>
    <col min="1014" max="1014" width="5.5703125" customWidth="1"/>
    <col min="1015" max="1034" width="9.7109375" customWidth="1"/>
    <col min="1035" max="1035" width="9.28515625" customWidth="1"/>
    <col min="1036" max="1036" width="12.140625" customWidth="1"/>
    <col min="1037" max="1037" width="9.5703125" customWidth="1"/>
    <col min="1038" max="1038" width="10.7109375" customWidth="1"/>
    <col min="1039" max="1039" width="16" customWidth="1"/>
    <col min="1040" max="1266" width="9.140625"/>
    <col min="1267" max="1267" width="7.140625" customWidth="1"/>
    <col min="1268" max="1268" width="28.140625" customWidth="1"/>
    <col min="1269" max="1269" width="5.7109375" customWidth="1"/>
    <col min="1270" max="1270" width="5.5703125" customWidth="1"/>
    <col min="1271" max="1290" width="9.7109375" customWidth="1"/>
    <col min="1291" max="1291" width="9.28515625" customWidth="1"/>
    <col min="1292" max="1292" width="12.140625" customWidth="1"/>
    <col min="1293" max="1293" width="9.5703125" customWidth="1"/>
    <col min="1294" max="1294" width="10.7109375" customWidth="1"/>
    <col min="1295" max="1295" width="16" customWidth="1"/>
    <col min="1296" max="1522" width="9.140625"/>
    <col min="1523" max="1523" width="7.140625" customWidth="1"/>
    <col min="1524" max="1524" width="28.140625" customWidth="1"/>
    <col min="1525" max="1525" width="5.7109375" customWidth="1"/>
    <col min="1526" max="1526" width="5.5703125" customWidth="1"/>
    <col min="1527" max="1546" width="9.7109375" customWidth="1"/>
    <col min="1547" max="1547" width="9.28515625" customWidth="1"/>
    <col min="1548" max="1548" width="12.140625" customWidth="1"/>
    <col min="1549" max="1549" width="9.5703125" customWidth="1"/>
    <col min="1550" max="1550" width="10.7109375" customWidth="1"/>
    <col min="1551" max="1551" width="16" customWidth="1"/>
    <col min="1552" max="1778" width="9.140625"/>
    <col min="1779" max="1779" width="7.140625" customWidth="1"/>
    <col min="1780" max="1780" width="28.140625" customWidth="1"/>
    <col min="1781" max="1781" width="5.7109375" customWidth="1"/>
    <col min="1782" max="1782" width="5.5703125" customWidth="1"/>
    <col min="1783" max="1802" width="9.7109375" customWidth="1"/>
    <col min="1803" max="1803" width="9.28515625" customWidth="1"/>
    <col min="1804" max="1804" width="12.140625" customWidth="1"/>
    <col min="1805" max="1805" width="9.5703125" customWidth="1"/>
    <col min="1806" max="1806" width="10.7109375" customWidth="1"/>
    <col min="1807" max="1807" width="16" customWidth="1"/>
    <col min="1808" max="2034" width="9.140625"/>
    <col min="2035" max="2035" width="7.140625" customWidth="1"/>
    <col min="2036" max="2036" width="28.140625" customWidth="1"/>
    <col min="2037" max="2037" width="5.7109375" customWidth="1"/>
    <col min="2038" max="2038" width="5.5703125" customWidth="1"/>
    <col min="2039" max="2058" width="9.7109375" customWidth="1"/>
    <col min="2059" max="2059" width="9.28515625" customWidth="1"/>
    <col min="2060" max="2060" width="12.140625" customWidth="1"/>
    <col min="2061" max="2061" width="9.5703125" customWidth="1"/>
    <col min="2062" max="2062" width="10.7109375" customWidth="1"/>
    <col min="2063" max="2063" width="16" customWidth="1"/>
    <col min="2064" max="2290" width="9.140625"/>
    <col min="2291" max="2291" width="7.140625" customWidth="1"/>
    <col min="2292" max="2292" width="28.140625" customWidth="1"/>
    <col min="2293" max="2293" width="5.7109375" customWidth="1"/>
    <col min="2294" max="2294" width="5.5703125" customWidth="1"/>
    <col min="2295" max="2314" width="9.7109375" customWidth="1"/>
    <col min="2315" max="2315" width="9.28515625" customWidth="1"/>
    <col min="2316" max="2316" width="12.140625" customWidth="1"/>
    <col min="2317" max="2317" width="9.5703125" customWidth="1"/>
    <col min="2318" max="2318" width="10.7109375" customWidth="1"/>
    <col min="2319" max="2319" width="16" customWidth="1"/>
    <col min="2320" max="2546" width="9.140625"/>
    <col min="2547" max="2547" width="7.140625" customWidth="1"/>
    <col min="2548" max="2548" width="28.140625" customWidth="1"/>
    <col min="2549" max="2549" width="5.7109375" customWidth="1"/>
    <col min="2550" max="2550" width="5.5703125" customWidth="1"/>
    <col min="2551" max="2570" width="9.7109375" customWidth="1"/>
    <col min="2571" max="2571" width="9.28515625" customWidth="1"/>
    <col min="2572" max="2572" width="12.140625" customWidth="1"/>
    <col min="2573" max="2573" width="9.5703125" customWidth="1"/>
    <col min="2574" max="2574" width="10.7109375" customWidth="1"/>
    <col min="2575" max="2575" width="16" customWidth="1"/>
    <col min="2576" max="2802" width="9.140625"/>
    <col min="2803" max="2803" width="7.140625" customWidth="1"/>
    <col min="2804" max="2804" width="28.140625" customWidth="1"/>
    <col min="2805" max="2805" width="5.7109375" customWidth="1"/>
    <col min="2806" max="2806" width="5.5703125" customWidth="1"/>
    <col min="2807" max="2826" width="9.7109375" customWidth="1"/>
    <col min="2827" max="2827" width="9.28515625" customWidth="1"/>
    <col min="2828" max="2828" width="12.140625" customWidth="1"/>
    <col min="2829" max="2829" width="9.5703125" customWidth="1"/>
    <col min="2830" max="2830" width="10.7109375" customWidth="1"/>
    <col min="2831" max="2831" width="16" customWidth="1"/>
    <col min="2832" max="3058" width="9.140625"/>
    <col min="3059" max="3059" width="7.140625" customWidth="1"/>
    <col min="3060" max="3060" width="28.140625" customWidth="1"/>
    <col min="3061" max="3061" width="5.7109375" customWidth="1"/>
    <col min="3062" max="3062" width="5.5703125" customWidth="1"/>
    <col min="3063" max="3082" width="9.7109375" customWidth="1"/>
    <col min="3083" max="3083" width="9.28515625" customWidth="1"/>
    <col min="3084" max="3084" width="12.140625" customWidth="1"/>
    <col min="3085" max="3085" width="9.5703125" customWidth="1"/>
    <col min="3086" max="3086" width="10.7109375" customWidth="1"/>
    <col min="3087" max="3087" width="16" customWidth="1"/>
    <col min="3088" max="3314" width="9.140625"/>
    <col min="3315" max="3315" width="7.140625" customWidth="1"/>
    <col min="3316" max="3316" width="28.140625" customWidth="1"/>
    <col min="3317" max="3317" width="5.7109375" customWidth="1"/>
    <col min="3318" max="3318" width="5.5703125" customWidth="1"/>
    <col min="3319" max="3338" width="9.7109375" customWidth="1"/>
    <col min="3339" max="3339" width="9.28515625" customWidth="1"/>
    <col min="3340" max="3340" width="12.140625" customWidth="1"/>
    <col min="3341" max="3341" width="9.5703125" customWidth="1"/>
    <col min="3342" max="3342" width="10.7109375" customWidth="1"/>
    <col min="3343" max="3343" width="16" customWidth="1"/>
    <col min="3344" max="3570" width="9.140625"/>
    <col min="3571" max="3571" width="7.140625" customWidth="1"/>
    <col min="3572" max="3572" width="28.140625" customWidth="1"/>
    <col min="3573" max="3573" width="5.7109375" customWidth="1"/>
    <col min="3574" max="3574" width="5.5703125" customWidth="1"/>
    <col min="3575" max="3594" width="9.7109375" customWidth="1"/>
    <col min="3595" max="3595" width="9.28515625" customWidth="1"/>
    <col min="3596" max="3596" width="12.140625" customWidth="1"/>
    <col min="3597" max="3597" width="9.5703125" customWidth="1"/>
    <col min="3598" max="3598" width="10.7109375" customWidth="1"/>
    <col min="3599" max="3599" width="16" customWidth="1"/>
    <col min="3600" max="3826" width="9.140625"/>
    <col min="3827" max="3827" width="7.140625" customWidth="1"/>
    <col min="3828" max="3828" width="28.140625" customWidth="1"/>
    <col min="3829" max="3829" width="5.7109375" customWidth="1"/>
    <col min="3830" max="3830" width="5.5703125" customWidth="1"/>
    <col min="3831" max="3850" width="9.7109375" customWidth="1"/>
    <col min="3851" max="3851" width="9.28515625" customWidth="1"/>
    <col min="3852" max="3852" width="12.140625" customWidth="1"/>
    <col min="3853" max="3853" width="9.5703125" customWidth="1"/>
    <col min="3854" max="3854" width="10.7109375" customWidth="1"/>
    <col min="3855" max="3855" width="16" customWidth="1"/>
    <col min="3856" max="4082" width="9.140625"/>
    <col min="4083" max="4083" width="7.140625" customWidth="1"/>
    <col min="4084" max="4084" width="28.140625" customWidth="1"/>
    <col min="4085" max="4085" width="5.7109375" customWidth="1"/>
    <col min="4086" max="4086" width="5.5703125" customWidth="1"/>
    <col min="4087" max="4106" width="9.7109375" customWidth="1"/>
    <col min="4107" max="4107" width="9.28515625" customWidth="1"/>
    <col min="4108" max="4108" width="12.140625" customWidth="1"/>
    <col min="4109" max="4109" width="9.5703125" customWidth="1"/>
    <col min="4110" max="4110" width="10.7109375" customWidth="1"/>
    <col min="4111" max="4111" width="16" customWidth="1"/>
    <col min="4112" max="4338" width="9.140625"/>
    <col min="4339" max="4339" width="7.140625" customWidth="1"/>
    <col min="4340" max="4340" width="28.140625" customWidth="1"/>
    <col min="4341" max="4341" width="5.7109375" customWidth="1"/>
    <col min="4342" max="4342" width="5.5703125" customWidth="1"/>
    <col min="4343" max="4362" width="9.7109375" customWidth="1"/>
    <col min="4363" max="4363" width="9.28515625" customWidth="1"/>
    <col min="4364" max="4364" width="12.140625" customWidth="1"/>
    <col min="4365" max="4365" width="9.5703125" customWidth="1"/>
    <col min="4366" max="4366" width="10.7109375" customWidth="1"/>
    <col min="4367" max="4367" width="16" customWidth="1"/>
    <col min="4368" max="4594" width="9.140625"/>
    <col min="4595" max="4595" width="7.140625" customWidth="1"/>
    <col min="4596" max="4596" width="28.140625" customWidth="1"/>
    <col min="4597" max="4597" width="5.7109375" customWidth="1"/>
    <col min="4598" max="4598" width="5.5703125" customWidth="1"/>
    <col min="4599" max="4618" width="9.7109375" customWidth="1"/>
    <col min="4619" max="4619" width="9.28515625" customWidth="1"/>
    <col min="4620" max="4620" width="12.140625" customWidth="1"/>
    <col min="4621" max="4621" width="9.5703125" customWidth="1"/>
    <col min="4622" max="4622" width="10.7109375" customWidth="1"/>
    <col min="4623" max="4623" width="16" customWidth="1"/>
    <col min="4624" max="4850" width="9.140625"/>
    <col min="4851" max="4851" width="7.140625" customWidth="1"/>
    <col min="4852" max="4852" width="28.140625" customWidth="1"/>
    <col min="4853" max="4853" width="5.7109375" customWidth="1"/>
    <col min="4854" max="4854" width="5.5703125" customWidth="1"/>
    <col min="4855" max="4874" width="9.7109375" customWidth="1"/>
    <col min="4875" max="4875" width="9.28515625" customWidth="1"/>
    <col min="4876" max="4876" width="12.140625" customWidth="1"/>
    <col min="4877" max="4877" width="9.5703125" customWidth="1"/>
    <col min="4878" max="4878" width="10.7109375" customWidth="1"/>
    <col min="4879" max="4879" width="16" customWidth="1"/>
    <col min="4880" max="5106" width="9.140625"/>
    <col min="5107" max="5107" width="7.140625" customWidth="1"/>
    <col min="5108" max="5108" width="28.140625" customWidth="1"/>
    <col min="5109" max="5109" width="5.7109375" customWidth="1"/>
    <col min="5110" max="5110" width="5.5703125" customWidth="1"/>
    <col min="5111" max="5130" width="9.7109375" customWidth="1"/>
    <col min="5131" max="5131" width="9.28515625" customWidth="1"/>
    <col min="5132" max="5132" width="12.140625" customWidth="1"/>
    <col min="5133" max="5133" width="9.5703125" customWidth="1"/>
    <col min="5134" max="5134" width="10.7109375" customWidth="1"/>
    <col min="5135" max="5135" width="16" customWidth="1"/>
    <col min="5136" max="5362" width="9.140625"/>
    <col min="5363" max="5363" width="7.140625" customWidth="1"/>
    <col min="5364" max="5364" width="28.140625" customWidth="1"/>
    <col min="5365" max="5365" width="5.7109375" customWidth="1"/>
    <col min="5366" max="5366" width="5.5703125" customWidth="1"/>
    <col min="5367" max="5386" width="9.7109375" customWidth="1"/>
    <col min="5387" max="5387" width="9.28515625" customWidth="1"/>
    <col min="5388" max="5388" width="12.140625" customWidth="1"/>
    <col min="5389" max="5389" width="9.5703125" customWidth="1"/>
    <col min="5390" max="5390" width="10.7109375" customWidth="1"/>
    <col min="5391" max="5391" width="16" customWidth="1"/>
    <col min="5392" max="5618" width="9.140625"/>
    <col min="5619" max="5619" width="7.140625" customWidth="1"/>
    <col min="5620" max="5620" width="28.140625" customWidth="1"/>
    <col min="5621" max="5621" width="5.7109375" customWidth="1"/>
    <col min="5622" max="5622" width="5.5703125" customWidth="1"/>
    <col min="5623" max="5642" width="9.7109375" customWidth="1"/>
    <col min="5643" max="5643" width="9.28515625" customWidth="1"/>
    <col min="5644" max="5644" width="12.140625" customWidth="1"/>
    <col min="5645" max="5645" width="9.5703125" customWidth="1"/>
    <col min="5646" max="5646" width="10.7109375" customWidth="1"/>
    <col min="5647" max="5647" width="16" customWidth="1"/>
    <col min="5648" max="5874" width="9.140625"/>
    <col min="5875" max="5875" width="7.140625" customWidth="1"/>
    <col min="5876" max="5876" width="28.140625" customWidth="1"/>
    <col min="5877" max="5877" width="5.7109375" customWidth="1"/>
    <col min="5878" max="5878" width="5.5703125" customWidth="1"/>
    <col min="5879" max="5898" width="9.7109375" customWidth="1"/>
    <col min="5899" max="5899" width="9.28515625" customWidth="1"/>
    <col min="5900" max="5900" width="12.140625" customWidth="1"/>
    <col min="5901" max="5901" width="9.5703125" customWidth="1"/>
    <col min="5902" max="5902" width="10.7109375" customWidth="1"/>
    <col min="5903" max="5903" width="16" customWidth="1"/>
    <col min="5904" max="6130" width="9.140625"/>
    <col min="6131" max="6131" width="7.140625" customWidth="1"/>
    <col min="6132" max="6132" width="28.140625" customWidth="1"/>
    <col min="6133" max="6133" width="5.7109375" customWidth="1"/>
    <col min="6134" max="6134" width="5.5703125" customWidth="1"/>
    <col min="6135" max="6154" width="9.7109375" customWidth="1"/>
    <col min="6155" max="6155" width="9.28515625" customWidth="1"/>
    <col min="6156" max="6156" width="12.140625" customWidth="1"/>
    <col min="6157" max="6157" width="9.5703125" customWidth="1"/>
    <col min="6158" max="6158" width="10.7109375" customWidth="1"/>
    <col min="6159" max="6159" width="16" customWidth="1"/>
    <col min="6160" max="6386" width="9.140625"/>
    <col min="6387" max="6387" width="7.140625" customWidth="1"/>
    <col min="6388" max="6388" width="28.140625" customWidth="1"/>
    <col min="6389" max="6389" width="5.7109375" customWidth="1"/>
    <col min="6390" max="6390" width="5.5703125" customWidth="1"/>
    <col min="6391" max="6410" width="9.7109375" customWidth="1"/>
    <col min="6411" max="6411" width="9.28515625" customWidth="1"/>
    <col min="6412" max="6412" width="12.140625" customWidth="1"/>
    <col min="6413" max="6413" width="9.5703125" customWidth="1"/>
    <col min="6414" max="6414" width="10.7109375" customWidth="1"/>
    <col min="6415" max="6415" width="16" customWidth="1"/>
    <col min="6416" max="6642" width="9.140625"/>
    <col min="6643" max="6643" width="7.140625" customWidth="1"/>
    <col min="6644" max="6644" width="28.140625" customWidth="1"/>
    <col min="6645" max="6645" width="5.7109375" customWidth="1"/>
    <col min="6646" max="6646" width="5.5703125" customWidth="1"/>
    <col min="6647" max="6666" width="9.7109375" customWidth="1"/>
    <col min="6667" max="6667" width="9.28515625" customWidth="1"/>
    <col min="6668" max="6668" width="12.140625" customWidth="1"/>
    <col min="6669" max="6669" width="9.5703125" customWidth="1"/>
    <col min="6670" max="6670" width="10.7109375" customWidth="1"/>
    <col min="6671" max="6671" width="16" customWidth="1"/>
    <col min="6672" max="6898" width="9.140625"/>
    <col min="6899" max="6899" width="7.140625" customWidth="1"/>
    <col min="6900" max="6900" width="28.140625" customWidth="1"/>
    <col min="6901" max="6901" width="5.7109375" customWidth="1"/>
    <col min="6902" max="6902" width="5.5703125" customWidth="1"/>
    <col min="6903" max="6922" width="9.7109375" customWidth="1"/>
    <col min="6923" max="6923" width="9.28515625" customWidth="1"/>
    <col min="6924" max="6924" width="12.140625" customWidth="1"/>
    <col min="6925" max="6925" width="9.5703125" customWidth="1"/>
    <col min="6926" max="6926" width="10.7109375" customWidth="1"/>
    <col min="6927" max="6927" width="16" customWidth="1"/>
    <col min="6928" max="7154" width="9.140625"/>
    <col min="7155" max="7155" width="7.140625" customWidth="1"/>
    <col min="7156" max="7156" width="28.140625" customWidth="1"/>
    <col min="7157" max="7157" width="5.7109375" customWidth="1"/>
    <col min="7158" max="7158" width="5.5703125" customWidth="1"/>
    <col min="7159" max="7178" width="9.7109375" customWidth="1"/>
    <col min="7179" max="7179" width="9.28515625" customWidth="1"/>
    <col min="7180" max="7180" width="12.140625" customWidth="1"/>
    <col min="7181" max="7181" width="9.5703125" customWidth="1"/>
    <col min="7182" max="7182" width="10.7109375" customWidth="1"/>
    <col min="7183" max="7183" width="16" customWidth="1"/>
    <col min="7184" max="7410" width="9.140625"/>
    <col min="7411" max="7411" width="7.140625" customWidth="1"/>
    <col min="7412" max="7412" width="28.140625" customWidth="1"/>
    <col min="7413" max="7413" width="5.7109375" customWidth="1"/>
    <col min="7414" max="7414" width="5.5703125" customWidth="1"/>
    <col min="7415" max="7434" width="9.7109375" customWidth="1"/>
    <col min="7435" max="7435" width="9.28515625" customWidth="1"/>
    <col min="7436" max="7436" width="12.140625" customWidth="1"/>
    <col min="7437" max="7437" width="9.5703125" customWidth="1"/>
    <col min="7438" max="7438" width="10.7109375" customWidth="1"/>
    <col min="7439" max="7439" width="16" customWidth="1"/>
    <col min="7440" max="7666" width="9.140625"/>
    <col min="7667" max="7667" width="7.140625" customWidth="1"/>
    <col min="7668" max="7668" width="28.140625" customWidth="1"/>
    <col min="7669" max="7669" width="5.7109375" customWidth="1"/>
    <col min="7670" max="7670" width="5.5703125" customWidth="1"/>
    <col min="7671" max="7690" width="9.7109375" customWidth="1"/>
    <col min="7691" max="7691" width="9.28515625" customWidth="1"/>
    <col min="7692" max="7692" width="12.140625" customWidth="1"/>
    <col min="7693" max="7693" width="9.5703125" customWidth="1"/>
    <col min="7694" max="7694" width="10.7109375" customWidth="1"/>
    <col min="7695" max="7695" width="16" customWidth="1"/>
    <col min="7696" max="7922" width="9.140625"/>
    <col min="7923" max="7923" width="7.140625" customWidth="1"/>
    <col min="7924" max="7924" width="28.140625" customWidth="1"/>
    <col min="7925" max="7925" width="5.7109375" customWidth="1"/>
    <col min="7926" max="7926" width="5.5703125" customWidth="1"/>
    <col min="7927" max="7946" width="9.7109375" customWidth="1"/>
    <col min="7947" max="7947" width="9.28515625" customWidth="1"/>
    <col min="7948" max="7948" width="12.140625" customWidth="1"/>
    <col min="7949" max="7949" width="9.5703125" customWidth="1"/>
    <col min="7950" max="7950" width="10.7109375" customWidth="1"/>
    <col min="7951" max="7951" width="16" customWidth="1"/>
    <col min="7952" max="8178" width="9.140625"/>
    <col min="8179" max="8179" width="7.140625" customWidth="1"/>
    <col min="8180" max="8180" width="28.140625" customWidth="1"/>
    <col min="8181" max="8181" width="5.7109375" customWidth="1"/>
    <col min="8182" max="8182" width="5.5703125" customWidth="1"/>
    <col min="8183" max="8202" width="9.7109375" customWidth="1"/>
    <col min="8203" max="8203" width="9.28515625" customWidth="1"/>
    <col min="8204" max="8204" width="12.140625" customWidth="1"/>
    <col min="8205" max="8205" width="9.5703125" customWidth="1"/>
    <col min="8206" max="8206" width="10.7109375" customWidth="1"/>
    <col min="8207" max="8207" width="16" customWidth="1"/>
    <col min="8208" max="8434" width="9.140625"/>
    <col min="8435" max="8435" width="7.140625" customWidth="1"/>
    <col min="8436" max="8436" width="28.140625" customWidth="1"/>
    <col min="8437" max="8437" width="5.7109375" customWidth="1"/>
    <col min="8438" max="8438" width="5.5703125" customWidth="1"/>
    <col min="8439" max="8458" width="9.7109375" customWidth="1"/>
    <col min="8459" max="8459" width="9.28515625" customWidth="1"/>
    <col min="8460" max="8460" width="12.140625" customWidth="1"/>
    <col min="8461" max="8461" width="9.5703125" customWidth="1"/>
    <col min="8462" max="8462" width="10.7109375" customWidth="1"/>
    <col min="8463" max="8463" width="16" customWidth="1"/>
    <col min="8464" max="8690" width="9.140625"/>
    <col min="8691" max="8691" width="7.140625" customWidth="1"/>
    <col min="8692" max="8692" width="28.140625" customWidth="1"/>
    <col min="8693" max="8693" width="5.7109375" customWidth="1"/>
    <col min="8694" max="8694" width="5.5703125" customWidth="1"/>
    <col min="8695" max="8714" width="9.7109375" customWidth="1"/>
    <col min="8715" max="8715" width="9.28515625" customWidth="1"/>
    <col min="8716" max="8716" width="12.140625" customWidth="1"/>
    <col min="8717" max="8717" width="9.5703125" customWidth="1"/>
    <col min="8718" max="8718" width="10.7109375" customWidth="1"/>
    <col min="8719" max="8719" width="16" customWidth="1"/>
    <col min="8720" max="8946" width="9.140625"/>
    <col min="8947" max="8947" width="7.140625" customWidth="1"/>
    <col min="8948" max="8948" width="28.140625" customWidth="1"/>
    <col min="8949" max="8949" width="5.7109375" customWidth="1"/>
    <col min="8950" max="8950" width="5.5703125" customWidth="1"/>
    <col min="8951" max="8970" width="9.7109375" customWidth="1"/>
    <col min="8971" max="8971" width="9.28515625" customWidth="1"/>
    <col min="8972" max="8972" width="12.140625" customWidth="1"/>
    <col min="8973" max="8973" width="9.5703125" customWidth="1"/>
    <col min="8974" max="8974" width="10.7109375" customWidth="1"/>
    <col min="8975" max="8975" width="16" customWidth="1"/>
    <col min="8976" max="9202" width="9.140625"/>
    <col min="9203" max="9203" width="7.140625" customWidth="1"/>
    <col min="9204" max="9204" width="28.140625" customWidth="1"/>
    <col min="9205" max="9205" width="5.7109375" customWidth="1"/>
    <col min="9206" max="9206" width="5.5703125" customWidth="1"/>
    <col min="9207" max="9226" width="9.7109375" customWidth="1"/>
    <col min="9227" max="9227" width="9.28515625" customWidth="1"/>
    <col min="9228" max="9228" width="12.140625" customWidth="1"/>
    <col min="9229" max="9229" width="9.5703125" customWidth="1"/>
    <col min="9230" max="9230" width="10.7109375" customWidth="1"/>
    <col min="9231" max="9231" width="16" customWidth="1"/>
    <col min="9232" max="9458" width="9.140625"/>
    <col min="9459" max="9459" width="7.140625" customWidth="1"/>
    <col min="9460" max="9460" width="28.140625" customWidth="1"/>
    <col min="9461" max="9461" width="5.7109375" customWidth="1"/>
    <col min="9462" max="9462" width="5.5703125" customWidth="1"/>
    <col min="9463" max="9482" width="9.7109375" customWidth="1"/>
    <col min="9483" max="9483" width="9.28515625" customWidth="1"/>
    <col min="9484" max="9484" width="12.140625" customWidth="1"/>
    <col min="9485" max="9485" width="9.5703125" customWidth="1"/>
    <col min="9486" max="9486" width="10.7109375" customWidth="1"/>
    <col min="9487" max="9487" width="16" customWidth="1"/>
    <col min="9488" max="9714" width="9.140625"/>
    <col min="9715" max="9715" width="7.140625" customWidth="1"/>
    <col min="9716" max="9716" width="28.140625" customWidth="1"/>
    <col min="9717" max="9717" width="5.7109375" customWidth="1"/>
    <col min="9718" max="9718" width="5.5703125" customWidth="1"/>
    <col min="9719" max="9738" width="9.7109375" customWidth="1"/>
    <col min="9739" max="9739" width="9.28515625" customWidth="1"/>
    <col min="9740" max="9740" width="12.140625" customWidth="1"/>
    <col min="9741" max="9741" width="9.5703125" customWidth="1"/>
    <col min="9742" max="9742" width="10.7109375" customWidth="1"/>
    <col min="9743" max="9743" width="16" customWidth="1"/>
    <col min="9744" max="9970" width="9.140625"/>
    <col min="9971" max="9971" width="7.140625" customWidth="1"/>
    <col min="9972" max="9972" width="28.140625" customWidth="1"/>
    <col min="9973" max="9973" width="5.7109375" customWidth="1"/>
    <col min="9974" max="9974" width="5.5703125" customWidth="1"/>
    <col min="9975" max="9994" width="9.7109375" customWidth="1"/>
    <col min="9995" max="9995" width="9.28515625" customWidth="1"/>
    <col min="9996" max="9996" width="12.140625" customWidth="1"/>
    <col min="9997" max="9997" width="9.5703125" customWidth="1"/>
    <col min="9998" max="9998" width="10.7109375" customWidth="1"/>
    <col min="9999" max="9999" width="16" customWidth="1"/>
    <col min="10000" max="10226" width="9.140625"/>
    <col min="10227" max="10227" width="7.140625" customWidth="1"/>
    <col min="10228" max="10228" width="28.140625" customWidth="1"/>
    <col min="10229" max="10229" width="5.7109375" customWidth="1"/>
    <col min="10230" max="10230" width="5.5703125" customWidth="1"/>
    <col min="10231" max="10250" width="9.7109375" customWidth="1"/>
    <col min="10251" max="10251" width="9.28515625" customWidth="1"/>
    <col min="10252" max="10252" width="12.140625" customWidth="1"/>
    <col min="10253" max="10253" width="9.5703125" customWidth="1"/>
    <col min="10254" max="10254" width="10.7109375" customWidth="1"/>
    <col min="10255" max="10255" width="16" customWidth="1"/>
    <col min="10256" max="10482" width="9.140625"/>
    <col min="10483" max="10483" width="7.140625" customWidth="1"/>
    <col min="10484" max="10484" width="28.140625" customWidth="1"/>
    <col min="10485" max="10485" width="5.7109375" customWidth="1"/>
    <col min="10486" max="10486" width="5.5703125" customWidth="1"/>
    <col min="10487" max="10506" width="9.7109375" customWidth="1"/>
    <col min="10507" max="10507" width="9.28515625" customWidth="1"/>
    <col min="10508" max="10508" width="12.140625" customWidth="1"/>
    <col min="10509" max="10509" width="9.5703125" customWidth="1"/>
    <col min="10510" max="10510" width="10.7109375" customWidth="1"/>
    <col min="10511" max="10511" width="16" customWidth="1"/>
    <col min="10512" max="10738" width="9.140625"/>
    <col min="10739" max="10739" width="7.140625" customWidth="1"/>
    <col min="10740" max="10740" width="28.140625" customWidth="1"/>
    <col min="10741" max="10741" width="5.7109375" customWidth="1"/>
    <col min="10742" max="10742" width="5.5703125" customWidth="1"/>
    <col min="10743" max="10762" width="9.7109375" customWidth="1"/>
    <col min="10763" max="10763" width="9.28515625" customWidth="1"/>
    <col min="10764" max="10764" width="12.140625" customWidth="1"/>
    <col min="10765" max="10765" width="9.5703125" customWidth="1"/>
    <col min="10766" max="10766" width="10.7109375" customWidth="1"/>
    <col min="10767" max="10767" width="16" customWidth="1"/>
    <col min="10768" max="10994" width="9.140625"/>
    <col min="10995" max="10995" width="7.140625" customWidth="1"/>
    <col min="10996" max="10996" width="28.140625" customWidth="1"/>
    <col min="10997" max="10997" width="5.7109375" customWidth="1"/>
    <col min="10998" max="10998" width="5.5703125" customWidth="1"/>
    <col min="10999" max="11018" width="9.7109375" customWidth="1"/>
    <col min="11019" max="11019" width="9.28515625" customWidth="1"/>
    <col min="11020" max="11020" width="12.140625" customWidth="1"/>
    <col min="11021" max="11021" width="9.5703125" customWidth="1"/>
    <col min="11022" max="11022" width="10.7109375" customWidth="1"/>
    <col min="11023" max="11023" width="16" customWidth="1"/>
    <col min="11024" max="11250" width="9.140625"/>
    <col min="11251" max="11251" width="7.140625" customWidth="1"/>
    <col min="11252" max="11252" width="28.140625" customWidth="1"/>
    <col min="11253" max="11253" width="5.7109375" customWidth="1"/>
    <col min="11254" max="11254" width="5.5703125" customWidth="1"/>
    <col min="11255" max="11274" width="9.7109375" customWidth="1"/>
    <col min="11275" max="11275" width="9.28515625" customWidth="1"/>
    <col min="11276" max="11276" width="12.140625" customWidth="1"/>
    <col min="11277" max="11277" width="9.5703125" customWidth="1"/>
    <col min="11278" max="11278" width="10.7109375" customWidth="1"/>
    <col min="11279" max="11279" width="16" customWidth="1"/>
    <col min="11280" max="11506" width="9.140625"/>
    <col min="11507" max="11507" width="7.140625" customWidth="1"/>
    <col min="11508" max="11508" width="28.140625" customWidth="1"/>
    <col min="11509" max="11509" width="5.7109375" customWidth="1"/>
    <col min="11510" max="11510" width="5.5703125" customWidth="1"/>
    <col min="11511" max="11530" width="9.7109375" customWidth="1"/>
    <col min="11531" max="11531" width="9.28515625" customWidth="1"/>
    <col min="11532" max="11532" width="12.140625" customWidth="1"/>
    <col min="11533" max="11533" width="9.5703125" customWidth="1"/>
    <col min="11534" max="11534" width="10.7109375" customWidth="1"/>
    <col min="11535" max="11535" width="16" customWidth="1"/>
    <col min="11536" max="11762" width="9.140625"/>
    <col min="11763" max="11763" width="7.140625" customWidth="1"/>
    <col min="11764" max="11764" width="28.140625" customWidth="1"/>
    <col min="11765" max="11765" width="5.7109375" customWidth="1"/>
    <col min="11766" max="11766" width="5.5703125" customWidth="1"/>
    <col min="11767" max="11786" width="9.7109375" customWidth="1"/>
    <col min="11787" max="11787" width="9.28515625" customWidth="1"/>
    <col min="11788" max="11788" width="12.140625" customWidth="1"/>
    <col min="11789" max="11789" width="9.5703125" customWidth="1"/>
    <col min="11790" max="11790" width="10.7109375" customWidth="1"/>
    <col min="11791" max="11791" width="16" customWidth="1"/>
    <col min="11792" max="12018" width="9.140625"/>
    <col min="12019" max="12019" width="7.140625" customWidth="1"/>
    <col min="12020" max="12020" width="28.140625" customWidth="1"/>
    <col min="12021" max="12021" width="5.7109375" customWidth="1"/>
    <col min="12022" max="12022" width="5.5703125" customWidth="1"/>
    <col min="12023" max="12042" width="9.7109375" customWidth="1"/>
    <col min="12043" max="12043" width="9.28515625" customWidth="1"/>
    <col min="12044" max="12044" width="12.140625" customWidth="1"/>
    <col min="12045" max="12045" width="9.5703125" customWidth="1"/>
    <col min="12046" max="12046" width="10.7109375" customWidth="1"/>
    <col min="12047" max="12047" width="16" customWidth="1"/>
    <col min="12048" max="12274" width="9.140625"/>
    <col min="12275" max="12275" width="7.140625" customWidth="1"/>
    <col min="12276" max="12276" width="28.140625" customWidth="1"/>
    <col min="12277" max="12277" width="5.7109375" customWidth="1"/>
    <col min="12278" max="12278" width="5.5703125" customWidth="1"/>
    <col min="12279" max="12298" width="9.7109375" customWidth="1"/>
    <col min="12299" max="12299" width="9.28515625" customWidth="1"/>
    <col min="12300" max="12300" width="12.140625" customWidth="1"/>
    <col min="12301" max="12301" width="9.5703125" customWidth="1"/>
    <col min="12302" max="12302" width="10.7109375" customWidth="1"/>
    <col min="12303" max="12303" width="16" customWidth="1"/>
    <col min="12304" max="12530" width="9.140625"/>
    <col min="12531" max="12531" width="7.140625" customWidth="1"/>
    <col min="12532" max="12532" width="28.140625" customWidth="1"/>
    <col min="12533" max="12533" width="5.7109375" customWidth="1"/>
    <col min="12534" max="12534" width="5.5703125" customWidth="1"/>
    <col min="12535" max="12554" width="9.7109375" customWidth="1"/>
    <col min="12555" max="12555" width="9.28515625" customWidth="1"/>
    <col min="12556" max="12556" width="12.140625" customWidth="1"/>
    <col min="12557" max="12557" width="9.5703125" customWidth="1"/>
    <col min="12558" max="12558" width="10.7109375" customWidth="1"/>
    <col min="12559" max="12559" width="16" customWidth="1"/>
    <col min="12560" max="12786" width="9.140625"/>
    <col min="12787" max="12787" width="7.140625" customWidth="1"/>
    <col min="12788" max="12788" width="28.140625" customWidth="1"/>
    <col min="12789" max="12789" width="5.7109375" customWidth="1"/>
    <col min="12790" max="12790" width="5.5703125" customWidth="1"/>
    <col min="12791" max="12810" width="9.7109375" customWidth="1"/>
    <col min="12811" max="12811" width="9.28515625" customWidth="1"/>
    <col min="12812" max="12812" width="12.140625" customWidth="1"/>
    <col min="12813" max="12813" width="9.5703125" customWidth="1"/>
    <col min="12814" max="12814" width="10.7109375" customWidth="1"/>
    <col min="12815" max="12815" width="16" customWidth="1"/>
    <col min="12816" max="13042" width="9.140625"/>
    <col min="13043" max="13043" width="7.140625" customWidth="1"/>
    <col min="13044" max="13044" width="28.140625" customWidth="1"/>
    <col min="13045" max="13045" width="5.7109375" customWidth="1"/>
    <col min="13046" max="13046" width="5.5703125" customWidth="1"/>
    <col min="13047" max="13066" width="9.7109375" customWidth="1"/>
    <col min="13067" max="13067" width="9.28515625" customWidth="1"/>
    <col min="13068" max="13068" width="12.140625" customWidth="1"/>
    <col min="13069" max="13069" width="9.5703125" customWidth="1"/>
    <col min="13070" max="13070" width="10.7109375" customWidth="1"/>
    <col min="13071" max="13071" width="16" customWidth="1"/>
    <col min="13072" max="13298" width="9.140625"/>
    <col min="13299" max="13299" width="7.140625" customWidth="1"/>
    <col min="13300" max="13300" width="28.140625" customWidth="1"/>
    <col min="13301" max="13301" width="5.7109375" customWidth="1"/>
    <col min="13302" max="13302" width="5.5703125" customWidth="1"/>
    <col min="13303" max="13322" width="9.7109375" customWidth="1"/>
    <col min="13323" max="13323" width="9.28515625" customWidth="1"/>
    <col min="13324" max="13324" width="12.140625" customWidth="1"/>
    <col min="13325" max="13325" width="9.5703125" customWidth="1"/>
    <col min="13326" max="13326" width="10.7109375" customWidth="1"/>
    <col min="13327" max="13327" width="16" customWidth="1"/>
    <col min="13328" max="13554" width="9.140625"/>
    <col min="13555" max="13555" width="7.140625" customWidth="1"/>
    <col min="13556" max="13556" width="28.140625" customWidth="1"/>
    <col min="13557" max="13557" width="5.7109375" customWidth="1"/>
    <col min="13558" max="13558" width="5.5703125" customWidth="1"/>
    <col min="13559" max="13578" width="9.7109375" customWidth="1"/>
    <col min="13579" max="13579" width="9.28515625" customWidth="1"/>
    <col min="13580" max="13580" width="12.140625" customWidth="1"/>
    <col min="13581" max="13581" width="9.5703125" customWidth="1"/>
    <col min="13582" max="13582" width="10.7109375" customWidth="1"/>
    <col min="13583" max="13583" width="16" customWidth="1"/>
    <col min="13584" max="13810" width="9.140625"/>
    <col min="13811" max="13811" width="7.140625" customWidth="1"/>
    <col min="13812" max="13812" width="28.140625" customWidth="1"/>
    <col min="13813" max="13813" width="5.7109375" customWidth="1"/>
    <col min="13814" max="13814" width="5.5703125" customWidth="1"/>
    <col min="13815" max="13834" width="9.7109375" customWidth="1"/>
    <col min="13835" max="13835" width="9.28515625" customWidth="1"/>
    <col min="13836" max="13836" width="12.140625" customWidth="1"/>
    <col min="13837" max="13837" width="9.5703125" customWidth="1"/>
    <col min="13838" max="13838" width="10.7109375" customWidth="1"/>
    <col min="13839" max="13839" width="16" customWidth="1"/>
    <col min="13840" max="14066" width="9.140625"/>
    <col min="14067" max="14067" width="7.140625" customWidth="1"/>
    <col min="14068" max="14068" width="28.140625" customWidth="1"/>
    <col min="14069" max="14069" width="5.7109375" customWidth="1"/>
    <col min="14070" max="14070" width="5.5703125" customWidth="1"/>
    <col min="14071" max="14090" width="9.7109375" customWidth="1"/>
    <col min="14091" max="14091" width="9.28515625" customWidth="1"/>
    <col min="14092" max="14092" width="12.140625" customWidth="1"/>
    <col min="14093" max="14093" width="9.5703125" customWidth="1"/>
    <col min="14094" max="14094" width="10.7109375" customWidth="1"/>
    <col min="14095" max="14095" width="16" customWidth="1"/>
    <col min="14096" max="14322" width="9.140625"/>
    <col min="14323" max="14323" width="7.140625" customWidth="1"/>
    <col min="14324" max="14324" width="28.140625" customWidth="1"/>
    <col min="14325" max="14325" width="5.7109375" customWidth="1"/>
    <col min="14326" max="14326" width="5.5703125" customWidth="1"/>
    <col min="14327" max="14346" width="9.7109375" customWidth="1"/>
    <col min="14347" max="14347" width="9.28515625" customWidth="1"/>
    <col min="14348" max="14348" width="12.140625" customWidth="1"/>
    <col min="14349" max="14349" width="9.5703125" customWidth="1"/>
    <col min="14350" max="14350" width="10.7109375" customWidth="1"/>
    <col min="14351" max="14351" width="16" customWidth="1"/>
    <col min="14352" max="14578" width="9.140625"/>
    <col min="14579" max="14579" width="7.140625" customWidth="1"/>
    <col min="14580" max="14580" width="28.140625" customWidth="1"/>
    <col min="14581" max="14581" width="5.7109375" customWidth="1"/>
    <col min="14582" max="14582" width="5.5703125" customWidth="1"/>
    <col min="14583" max="14602" width="9.7109375" customWidth="1"/>
    <col min="14603" max="14603" width="9.28515625" customWidth="1"/>
    <col min="14604" max="14604" width="12.140625" customWidth="1"/>
    <col min="14605" max="14605" width="9.5703125" customWidth="1"/>
    <col min="14606" max="14606" width="10.7109375" customWidth="1"/>
    <col min="14607" max="14607" width="16" customWidth="1"/>
    <col min="14608" max="14834" width="9.140625"/>
    <col min="14835" max="14835" width="7.140625" customWidth="1"/>
    <col min="14836" max="14836" width="28.140625" customWidth="1"/>
    <col min="14837" max="14837" width="5.7109375" customWidth="1"/>
    <col min="14838" max="14838" width="5.5703125" customWidth="1"/>
    <col min="14839" max="14858" width="9.7109375" customWidth="1"/>
    <col min="14859" max="14859" width="9.28515625" customWidth="1"/>
    <col min="14860" max="14860" width="12.140625" customWidth="1"/>
    <col min="14861" max="14861" width="9.5703125" customWidth="1"/>
    <col min="14862" max="14862" width="10.7109375" customWidth="1"/>
    <col min="14863" max="14863" width="16" customWidth="1"/>
    <col min="14864" max="15090" width="9.140625"/>
    <col min="15091" max="15091" width="7.140625" customWidth="1"/>
    <col min="15092" max="15092" width="28.140625" customWidth="1"/>
    <col min="15093" max="15093" width="5.7109375" customWidth="1"/>
    <col min="15094" max="15094" width="5.5703125" customWidth="1"/>
    <col min="15095" max="15114" width="9.7109375" customWidth="1"/>
    <col min="15115" max="15115" width="9.28515625" customWidth="1"/>
    <col min="15116" max="15116" width="12.140625" customWidth="1"/>
    <col min="15117" max="15117" width="9.5703125" customWidth="1"/>
    <col min="15118" max="15118" width="10.7109375" customWidth="1"/>
    <col min="15119" max="15119" width="16" customWidth="1"/>
    <col min="15120" max="15346" width="9.140625"/>
    <col min="15347" max="15347" width="7.140625" customWidth="1"/>
    <col min="15348" max="15348" width="28.140625" customWidth="1"/>
    <col min="15349" max="15349" width="5.7109375" customWidth="1"/>
    <col min="15350" max="15350" width="5.5703125" customWidth="1"/>
    <col min="15351" max="15370" width="9.7109375" customWidth="1"/>
    <col min="15371" max="15371" width="9.28515625" customWidth="1"/>
    <col min="15372" max="15372" width="12.140625" customWidth="1"/>
    <col min="15373" max="15373" width="9.5703125" customWidth="1"/>
    <col min="15374" max="15374" width="10.7109375" customWidth="1"/>
    <col min="15375" max="15375" width="16" customWidth="1"/>
    <col min="15376" max="15602" width="9.140625"/>
    <col min="15603" max="15603" width="7.140625" customWidth="1"/>
    <col min="15604" max="15604" width="28.140625" customWidth="1"/>
    <col min="15605" max="15605" width="5.7109375" customWidth="1"/>
    <col min="15606" max="15606" width="5.5703125" customWidth="1"/>
    <col min="15607" max="15626" width="9.7109375" customWidth="1"/>
    <col min="15627" max="15627" width="9.28515625" customWidth="1"/>
    <col min="15628" max="15628" width="12.140625" customWidth="1"/>
    <col min="15629" max="15629" width="9.5703125" customWidth="1"/>
    <col min="15630" max="15630" width="10.7109375" customWidth="1"/>
    <col min="15631" max="15631" width="16" customWidth="1"/>
    <col min="15632" max="15858" width="9.140625"/>
    <col min="15859" max="15859" width="7.140625" customWidth="1"/>
    <col min="15860" max="15860" width="28.140625" customWidth="1"/>
    <col min="15861" max="15861" width="5.7109375" customWidth="1"/>
    <col min="15862" max="15862" width="5.5703125" customWidth="1"/>
    <col min="15863" max="15882" width="9.7109375" customWidth="1"/>
    <col min="15883" max="15883" width="9.28515625" customWidth="1"/>
    <col min="15884" max="15884" width="12.140625" customWidth="1"/>
    <col min="15885" max="15885" width="9.5703125" customWidth="1"/>
    <col min="15886" max="15886" width="10.7109375" customWidth="1"/>
    <col min="15887" max="15887" width="16" customWidth="1"/>
    <col min="15888" max="16114" width="9.140625"/>
    <col min="16115" max="16115" width="7.140625" customWidth="1"/>
    <col min="16116" max="16116" width="28.140625" customWidth="1"/>
    <col min="16117" max="16117" width="5.7109375" customWidth="1"/>
    <col min="16118" max="16118" width="5.5703125" customWidth="1"/>
    <col min="16119" max="16138" width="9.7109375" customWidth="1"/>
    <col min="16139" max="16139" width="9.28515625" customWidth="1"/>
    <col min="16140" max="16140" width="12.140625" customWidth="1"/>
    <col min="16141" max="16141" width="9.5703125" customWidth="1"/>
    <col min="16142" max="16142" width="10.7109375" customWidth="1"/>
    <col min="16143" max="16143" width="16" customWidth="1"/>
    <col min="16144" max="16369" width="9.140625"/>
    <col min="16370" max="16384" width="9.140625" customWidth="1"/>
  </cols>
  <sheetData>
    <row r="1" spans="1:11" ht="26.25" customHeight="1">
      <c r="A1" s="189" t="s">
        <v>92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1">
      <c r="A2" s="206" t="s">
        <v>163</v>
      </c>
      <c r="B2" s="207"/>
      <c r="C2" s="208"/>
      <c r="D2" s="190"/>
      <c r="E2" s="190"/>
      <c r="F2" s="190"/>
      <c r="G2" s="191"/>
      <c r="H2" s="191"/>
      <c r="I2" s="191"/>
      <c r="J2" s="191"/>
      <c r="K2" s="159"/>
    </row>
    <row r="3" spans="1:11" ht="6" customHeight="1">
      <c r="A3" s="190"/>
      <c r="B3" s="190"/>
      <c r="C3" s="190"/>
      <c r="D3" s="190"/>
      <c r="E3" s="190"/>
      <c r="F3" s="190"/>
      <c r="G3" s="190"/>
      <c r="H3" s="190"/>
      <c r="I3" s="190"/>
      <c r="J3" s="190"/>
    </row>
    <row r="4" spans="1:11" s="196" customFormat="1" ht="45">
      <c r="A4" s="197"/>
      <c r="B4" s="197"/>
      <c r="C4" s="198" t="s">
        <v>164</v>
      </c>
      <c r="D4" s="198" t="s">
        <v>103</v>
      </c>
      <c r="E4" s="197" t="s">
        <v>48</v>
      </c>
      <c r="F4" s="198" t="s">
        <v>109</v>
      </c>
      <c r="G4" s="198" t="s">
        <v>108</v>
      </c>
      <c r="H4" s="197" t="s">
        <v>165</v>
      </c>
      <c r="I4" s="197" t="s">
        <v>26</v>
      </c>
      <c r="J4" s="197" t="s">
        <v>105</v>
      </c>
    </row>
    <row r="5" spans="1:11">
      <c r="A5" s="192" t="s">
        <v>155</v>
      </c>
      <c r="B5" s="193" t="s">
        <v>96</v>
      </c>
      <c r="C5" s="194"/>
      <c r="D5" s="195"/>
      <c r="E5" s="195">
        <v>1161.33</v>
      </c>
      <c r="F5" s="195"/>
      <c r="G5" s="195"/>
      <c r="H5" s="195"/>
      <c r="I5" s="195"/>
      <c r="J5" s="195">
        <f t="shared" ref="J5:J18" si="0">SUM(C5:I5)</f>
        <v>1161.33</v>
      </c>
      <c r="K5" s="160"/>
    </row>
    <row r="6" spans="1:11">
      <c r="A6" s="192" t="s">
        <v>152</v>
      </c>
      <c r="B6" s="193" t="s">
        <v>95</v>
      </c>
      <c r="C6" s="194"/>
      <c r="D6" s="194">
        <v>555</v>
      </c>
      <c r="E6" s="194"/>
      <c r="F6" s="194"/>
      <c r="G6" s="194"/>
      <c r="H6" s="194"/>
      <c r="I6" s="194">
        <v>111</v>
      </c>
      <c r="J6" s="195">
        <f t="shared" si="0"/>
        <v>666</v>
      </c>
      <c r="K6" s="160"/>
    </row>
    <row r="7" spans="1:11">
      <c r="A7" s="192" t="s">
        <v>101</v>
      </c>
      <c r="B7" s="193" t="s">
        <v>97</v>
      </c>
      <c r="C7" s="194">
        <v>461.9</v>
      </c>
      <c r="D7" s="195"/>
      <c r="E7" s="195"/>
      <c r="F7" s="195"/>
      <c r="G7" s="195"/>
      <c r="H7" s="195"/>
      <c r="I7" s="195"/>
      <c r="J7" s="195">
        <f t="shared" si="0"/>
        <v>461.9</v>
      </c>
      <c r="K7" s="160"/>
    </row>
    <row r="8" spans="1:11">
      <c r="A8" s="192" t="s">
        <v>158</v>
      </c>
      <c r="B8" s="193" t="s">
        <v>95</v>
      </c>
      <c r="C8" s="194"/>
      <c r="D8" s="195">
        <v>370</v>
      </c>
      <c r="E8" s="195"/>
      <c r="F8" s="195"/>
      <c r="G8" s="195"/>
      <c r="H8" s="195"/>
      <c r="I8" s="195">
        <v>74</v>
      </c>
      <c r="J8" s="195">
        <f t="shared" si="0"/>
        <v>444</v>
      </c>
      <c r="K8" s="160"/>
    </row>
    <row r="9" spans="1:11">
      <c r="A9" s="192" t="s">
        <v>160</v>
      </c>
      <c r="B9" s="193" t="s">
        <v>95</v>
      </c>
      <c r="C9" s="194"/>
      <c r="D9" s="195">
        <v>370</v>
      </c>
      <c r="E9" s="195"/>
      <c r="F9" s="195"/>
      <c r="G9" s="195"/>
      <c r="H9" s="195"/>
      <c r="I9" s="195">
        <v>74</v>
      </c>
      <c r="J9" s="195">
        <f t="shared" si="0"/>
        <v>444</v>
      </c>
      <c r="K9" s="160"/>
    </row>
    <row r="10" spans="1:11">
      <c r="A10" s="192" t="s">
        <v>98</v>
      </c>
      <c r="B10" s="193" t="s">
        <v>97</v>
      </c>
      <c r="C10" s="194">
        <v>426.8</v>
      </c>
      <c r="D10" s="195"/>
      <c r="E10" s="195"/>
      <c r="F10" s="195"/>
      <c r="G10" s="195"/>
      <c r="H10" s="195"/>
      <c r="I10" s="195"/>
      <c r="J10" s="195">
        <f t="shared" si="0"/>
        <v>426.8</v>
      </c>
      <c r="K10" s="160"/>
    </row>
    <row r="11" spans="1:11">
      <c r="A11" s="192" t="s">
        <v>99</v>
      </c>
      <c r="B11" s="193" t="s">
        <v>100</v>
      </c>
      <c r="C11" s="194"/>
      <c r="D11" s="195">
        <v>185</v>
      </c>
      <c r="E11" s="195"/>
      <c r="F11" s="195"/>
      <c r="G11" s="195"/>
      <c r="H11" s="195"/>
      <c r="I11" s="195">
        <v>37</v>
      </c>
      <c r="J11" s="195">
        <f t="shared" si="0"/>
        <v>222</v>
      </c>
      <c r="K11" s="160"/>
    </row>
    <row r="12" spans="1:11">
      <c r="A12" s="192" t="s">
        <v>162</v>
      </c>
      <c r="B12" s="193" t="s">
        <v>102</v>
      </c>
      <c r="C12" s="194"/>
      <c r="D12" s="195"/>
      <c r="E12" s="195"/>
      <c r="F12" s="195"/>
      <c r="G12" s="195">
        <v>151.74</v>
      </c>
      <c r="H12" s="195"/>
      <c r="I12" s="195"/>
      <c r="J12" s="195">
        <f t="shared" si="0"/>
        <v>151.74</v>
      </c>
      <c r="K12" s="160"/>
    </row>
    <row r="13" spans="1:11">
      <c r="A13" s="192" t="s">
        <v>156</v>
      </c>
      <c r="B13" s="193" t="s">
        <v>37</v>
      </c>
      <c r="C13" s="194"/>
      <c r="D13" s="195"/>
      <c r="E13" s="195"/>
      <c r="F13" s="195">
        <v>123.18</v>
      </c>
      <c r="G13" s="195"/>
      <c r="H13" s="195"/>
      <c r="I13" s="195"/>
      <c r="J13" s="195">
        <f t="shared" si="0"/>
        <v>123.18</v>
      </c>
      <c r="K13" s="160"/>
    </row>
    <row r="14" spans="1:11">
      <c r="A14" s="192" t="s">
        <v>154</v>
      </c>
      <c r="B14" s="193" t="s">
        <v>94</v>
      </c>
      <c r="C14" s="194"/>
      <c r="D14" s="194"/>
      <c r="E14" s="194"/>
      <c r="F14" s="194"/>
      <c r="G14" s="194"/>
      <c r="H14" s="194">
        <v>121.7</v>
      </c>
      <c r="I14" s="194"/>
      <c r="J14" s="195">
        <f t="shared" si="0"/>
        <v>121.7</v>
      </c>
      <c r="K14" s="160"/>
    </row>
    <row r="15" spans="1:11">
      <c r="A15" s="192" t="s">
        <v>161</v>
      </c>
      <c r="B15" s="193" t="s">
        <v>93</v>
      </c>
      <c r="C15" s="194">
        <v>115.6</v>
      </c>
      <c r="D15" s="195"/>
      <c r="E15" s="195"/>
      <c r="F15" s="195"/>
      <c r="G15" s="195"/>
      <c r="H15" s="195"/>
      <c r="I15" s="195"/>
      <c r="J15" s="195">
        <f t="shared" si="0"/>
        <v>115.6</v>
      </c>
      <c r="K15" s="160"/>
    </row>
    <row r="16" spans="1:11">
      <c r="A16" s="192" t="s">
        <v>153</v>
      </c>
      <c r="B16" s="193" t="s">
        <v>93</v>
      </c>
      <c r="C16" s="194">
        <v>106.6</v>
      </c>
      <c r="D16" s="195"/>
      <c r="E16" s="195"/>
      <c r="F16" s="195"/>
      <c r="G16" s="195"/>
      <c r="H16" s="195"/>
      <c r="I16" s="195"/>
      <c r="J16" s="195">
        <f t="shared" si="0"/>
        <v>106.6</v>
      </c>
      <c r="K16" s="160"/>
    </row>
    <row r="17" spans="1:16">
      <c r="A17" s="192" t="s">
        <v>157</v>
      </c>
      <c r="B17" s="193" t="s">
        <v>93</v>
      </c>
      <c r="C17" s="194">
        <v>106.6</v>
      </c>
      <c r="D17" s="195"/>
      <c r="E17" s="195"/>
      <c r="F17" s="195"/>
      <c r="G17" s="195"/>
      <c r="H17" s="195"/>
      <c r="I17" s="195"/>
      <c r="J17" s="195">
        <f t="shared" si="0"/>
        <v>106.6</v>
      </c>
      <c r="K17" s="160"/>
    </row>
    <row r="18" spans="1:16">
      <c r="A18" s="192" t="s">
        <v>159</v>
      </c>
      <c r="B18" s="193" t="s">
        <v>93</v>
      </c>
      <c r="C18" s="194">
        <v>106.6</v>
      </c>
      <c r="D18" s="195"/>
      <c r="E18" s="195"/>
      <c r="F18" s="195"/>
      <c r="G18" s="195"/>
      <c r="H18" s="195"/>
      <c r="I18" s="195"/>
      <c r="J18" s="195">
        <f t="shared" si="0"/>
        <v>106.6</v>
      </c>
      <c r="K18" s="160"/>
    </row>
    <row r="19" spans="1:16">
      <c r="A19" s="156"/>
      <c r="B19" s="155"/>
      <c r="C19" s="157"/>
      <c r="D19" s="158"/>
      <c r="E19" s="158"/>
      <c r="F19" s="158"/>
      <c r="G19" s="158"/>
      <c r="H19" s="158"/>
      <c r="I19" s="158"/>
      <c r="J19" s="158"/>
      <c r="K19" s="160"/>
      <c r="O19" s="155"/>
      <c r="P19" s="158"/>
    </row>
    <row r="20" spans="1:16">
      <c r="A20" s="156"/>
      <c r="B20" s="155"/>
      <c r="C20" s="157"/>
      <c r="D20" s="158"/>
      <c r="E20" s="158"/>
      <c r="F20" s="158"/>
      <c r="G20" s="158"/>
      <c r="H20" s="158"/>
      <c r="I20" s="158"/>
      <c r="J20" s="158"/>
      <c r="K20" s="160"/>
      <c r="O20" s="155"/>
      <c r="P20" s="158"/>
    </row>
    <row r="21" spans="1:16">
      <c r="A21" s="156"/>
      <c r="B21" s="155"/>
      <c r="C21" s="157"/>
      <c r="D21" s="158"/>
      <c r="E21" s="158"/>
      <c r="F21" s="158"/>
      <c r="G21" s="158"/>
      <c r="H21" s="158"/>
      <c r="I21" s="158"/>
      <c r="J21" s="158"/>
      <c r="K21" s="160"/>
      <c r="O21" s="155"/>
      <c r="P21" s="158"/>
    </row>
    <row r="22" spans="1:16">
      <c r="A22" s="156"/>
      <c r="B22" s="155"/>
      <c r="C22" s="157"/>
      <c r="D22" s="158"/>
      <c r="E22" s="158"/>
      <c r="F22" s="158"/>
      <c r="G22" s="158"/>
      <c r="H22" s="158"/>
      <c r="I22" s="158"/>
      <c r="J22" s="158"/>
      <c r="K22" s="160"/>
      <c r="O22" s="155"/>
      <c r="P22" s="158"/>
    </row>
    <row r="23" spans="1:16">
      <c r="A23" s="156"/>
      <c r="B23" s="155"/>
      <c r="C23" s="157"/>
      <c r="D23" s="158"/>
      <c r="E23" s="158"/>
      <c r="F23" s="158"/>
      <c r="G23" s="158"/>
      <c r="H23" s="158"/>
      <c r="I23" s="158"/>
      <c r="J23" s="158"/>
      <c r="K23" s="160"/>
      <c r="O23" s="155"/>
      <c r="P23" s="158"/>
    </row>
    <row r="24" spans="1:16">
      <c r="A24" s="156"/>
      <c r="B24" s="155"/>
      <c r="C24" s="157"/>
      <c r="D24" s="158"/>
      <c r="E24" s="158"/>
      <c r="F24" s="158"/>
      <c r="G24" s="158"/>
      <c r="H24" s="158"/>
      <c r="I24" s="158"/>
      <c r="J24" s="158"/>
      <c r="K24" s="160"/>
      <c r="O24" s="155"/>
      <c r="P24" s="158"/>
    </row>
    <row r="25" spans="1:16">
      <c r="A25" s="156"/>
      <c r="B25" s="155"/>
      <c r="C25" s="157"/>
      <c r="D25" s="157"/>
      <c r="E25" s="157"/>
      <c r="F25" s="157"/>
      <c r="G25" s="157"/>
      <c r="H25" s="157"/>
      <c r="I25" s="157"/>
      <c r="J25" s="157"/>
      <c r="K25" s="158"/>
      <c r="O25" s="155"/>
      <c r="P25" s="158"/>
    </row>
    <row r="26" spans="1:16">
      <c r="A26" s="156"/>
      <c r="B26" s="155"/>
      <c r="C26" s="157"/>
      <c r="D26" s="158"/>
      <c r="E26" s="158"/>
      <c r="F26" s="158"/>
      <c r="G26" s="158"/>
      <c r="H26" s="158"/>
      <c r="I26" s="158"/>
      <c r="J26" s="158"/>
      <c r="K26" s="158"/>
      <c r="O26" s="155"/>
      <c r="P26" s="158"/>
    </row>
    <row r="27" spans="1:16">
      <c r="A27" s="156"/>
      <c r="B27" s="155"/>
      <c r="C27" s="157"/>
      <c r="D27" s="158"/>
      <c r="E27" s="158"/>
      <c r="F27" s="158"/>
      <c r="G27" s="158"/>
      <c r="H27" s="158"/>
      <c r="I27" s="158"/>
      <c r="J27" s="158"/>
      <c r="K27" s="158"/>
      <c r="O27" s="155"/>
      <c r="P27" s="158"/>
    </row>
    <row r="28" spans="1:16">
      <c r="A28" s="156"/>
      <c r="B28" s="155"/>
      <c r="C28" s="157"/>
      <c r="D28" s="158"/>
      <c r="E28" s="158"/>
      <c r="F28" s="158"/>
      <c r="G28" s="158"/>
      <c r="H28" s="158"/>
      <c r="I28" s="158"/>
      <c r="J28" s="158"/>
      <c r="K28" s="158"/>
      <c r="O28" s="155"/>
      <c r="P28" s="158"/>
    </row>
    <row r="29" spans="1:16">
      <c r="A29" s="156"/>
      <c r="B29" s="155"/>
      <c r="C29" s="157"/>
      <c r="D29" s="158"/>
      <c r="E29" s="158"/>
      <c r="F29" s="158"/>
      <c r="G29" s="158"/>
      <c r="H29" s="158"/>
      <c r="I29" s="158"/>
      <c r="J29" s="158"/>
      <c r="K29" s="158"/>
      <c r="O29" s="155"/>
      <c r="P29" s="158"/>
    </row>
    <row r="30" spans="1:16">
      <c r="A30" s="156"/>
      <c r="B30" s="155"/>
      <c r="C30" s="157"/>
      <c r="D30" s="158"/>
      <c r="E30" s="158"/>
      <c r="F30" s="158"/>
      <c r="G30" s="158"/>
      <c r="H30" s="158"/>
      <c r="I30" s="158"/>
      <c r="J30" s="158"/>
      <c r="K30" s="158"/>
      <c r="O30" s="155"/>
      <c r="P30" s="158"/>
    </row>
    <row r="31" spans="1:16">
      <c r="A31" s="156"/>
      <c r="B31" s="155"/>
      <c r="C31" s="155"/>
      <c r="D31" s="155"/>
      <c r="E31" s="155"/>
      <c r="F31" s="155"/>
      <c r="G31" s="157"/>
      <c r="H31" s="157"/>
      <c r="I31" s="157"/>
      <c r="J31" s="155"/>
      <c r="O31" s="155"/>
      <c r="P31" s="158"/>
    </row>
    <row r="32" spans="1:16">
      <c r="A32" s="156"/>
      <c r="B32" s="155"/>
      <c r="C32" s="157"/>
      <c r="D32" s="158"/>
      <c r="E32" s="158"/>
      <c r="F32" s="158"/>
      <c r="G32" s="158"/>
      <c r="H32" s="158"/>
      <c r="I32" s="158"/>
      <c r="J32" s="158"/>
      <c r="K32" s="158"/>
      <c r="O32" s="155"/>
      <c r="P32" s="158"/>
    </row>
    <row r="33" spans="1:16">
      <c r="A33" s="156"/>
      <c r="B33" s="155"/>
      <c r="C33" s="157"/>
      <c r="D33" s="158"/>
      <c r="E33" s="158"/>
      <c r="F33" s="158"/>
      <c r="G33" s="158"/>
      <c r="H33" s="158"/>
      <c r="I33" s="158"/>
      <c r="J33" s="158"/>
      <c r="K33" s="158"/>
      <c r="O33" s="155"/>
      <c r="P33" s="158"/>
    </row>
    <row r="34" spans="1:16">
      <c r="A34" s="156"/>
      <c r="B34" s="155"/>
      <c r="C34" s="157"/>
      <c r="D34" s="158"/>
      <c r="E34" s="158"/>
      <c r="F34" s="158"/>
      <c r="G34" s="157"/>
      <c r="H34" s="157"/>
      <c r="I34" s="157"/>
      <c r="J34" s="158"/>
      <c r="K34" s="157"/>
      <c r="O34" s="155"/>
      <c r="P34" s="158"/>
    </row>
    <row r="35" spans="1:16">
      <c r="A35" s="156"/>
      <c r="B35" s="155"/>
      <c r="C35" s="157"/>
      <c r="D35" s="158"/>
      <c r="E35" s="158"/>
      <c r="F35" s="158"/>
      <c r="G35" s="158"/>
      <c r="H35" s="158"/>
      <c r="I35" s="158"/>
      <c r="J35" s="158"/>
      <c r="K35" s="157"/>
      <c r="O35" s="155"/>
      <c r="P35" s="158"/>
    </row>
    <row r="36" spans="1:16">
      <c r="A36" s="156"/>
      <c r="B36" s="155"/>
      <c r="C36" s="157"/>
      <c r="D36" s="47"/>
      <c r="E36" s="47"/>
      <c r="F36" s="47"/>
      <c r="G36" s="47"/>
      <c r="H36" s="47"/>
      <c r="I36" s="47"/>
      <c r="J36" s="47"/>
      <c r="K36" s="157"/>
      <c r="O36" s="155"/>
      <c r="P36" s="158"/>
    </row>
    <row r="37" spans="1:16">
      <c r="A37" s="156"/>
      <c r="B37" s="155"/>
      <c r="C37" s="157"/>
      <c r="D37" s="158"/>
      <c r="E37" s="158"/>
      <c r="F37" s="158"/>
      <c r="G37" s="158"/>
      <c r="H37" s="158"/>
      <c r="I37" s="158"/>
      <c r="J37" s="158"/>
      <c r="K37" s="157"/>
      <c r="O37" s="155"/>
      <c r="P37" s="158"/>
    </row>
    <row r="38" spans="1:16">
      <c r="A38" s="156"/>
      <c r="B38" s="155"/>
      <c r="C38" s="157"/>
      <c r="D38" s="158"/>
      <c r="E38" s="158"/>
      <c r="F38" s="158"/>
      <c r="G38" s="158"/>
      <c r="H38" s="158"/>
      <c r="I38" s="158"/>
      <c r="J38" s="158"/>
      <c r="K38" s="157"/>
      <c r="O38" s="155"/>
      <c r="P38" s="158"/>
    </row>
    <row r="39" spans="1:16">
      <c r="A39" s="156"/>
      <c r="B39" s="155"/>
      <c r="C39" s="157"/>
      <c r="D39" s="158"/>
      <c r="E39" s="158"/>
      <c r="F39" s="158"/>
      <c r="G39" s="158"/>
      <c r="H39" s="158"/>
      <c r="I39" s="158"/>
      <c r="J39" s="158"/>
      <c r="K39" s="157"/>
    </row>
    <row r="40" spans="1:16">
      <c r="A40" s="156"/>
      <c r="B40" s="155"/>
      <c r="C40" s="157"/>
      <c r="D40" s="157"/>
      <c r="E40" s="157"/>
      <c r="F40" s="157"/>
      <c r="G40" s="157"/>
      <c r="H40" s="157"/>
      <c r="I40" s="157"/>
      <c r="J40" s="157"/>
      <c r="K40" s="157"/>
    </row>
    <row r="41" spans="1:16">
      <c r="A41" s="156"/>
      <c r="B41" s="155"/>
      <c r="C41" s="157"/>
      <c r="D41" s="158"/>
      <c r="E41" s="158"/>
      <c r="F41" s="158"/>
      <c r="G41" s="158"/>
      <c r="H41" s="158"/>
      <c r="I41" s="158"/>
      <c r="J41" s="158"/>
      <c r="K41" s="157"/>
    </row>
    <row r="42" spans="1:16">
      <c r="A42" s="155"/>
      <c r="B42" s="155"/>
      <c r="C42" s="157"/>
      <c r="D42" s="158"/>
      <c r="E42" s="158"/>
      <c r="F42" s="158"/>
      <c r="G42" s="158"/>
      <c r="H42" s="158"/>
      <c r="I42" s="158"/>
      <c r="J42" s="158"/>
      <c r="K42" s="158"/>
    </row>
    <row r="43" spans="1:16">
      <c r="A43" s="156"/>
      <c r="B43" s="155"/>
      <c r="C43" s="157"/>
      <c r="D43" s="158"/>
      <c r="E43" s="158"/>
      <c r="F43" s="158"/>
      <c r="G43" s="158"/>
      <c r="H43" s="158"/>
      <c r="I43" s="158"/>
      <c r="J43" s="158"/>
      <c r="K43" s="158"/>
    </row>
    <row r="44" spans="1:16">
      <c r="A44" s="156"/>
      <c r="B44" s="155"/>
      <c r="C44" s="157"/>
      <c r="D44" s="158"/>
      <c r="E44" s="158"/>
      <c r="F44" s="158"/>
      <c r="G44" s="158"/>
      <c r="H44" s="158"/>
      <c r="I44" s="158"/>
      <c r="J44" s="158"/>
      <c r="K44" s="158"/>
      <c r="L44" s="47"/>
      <c r="M44" s="47"/>
      <c r="N44" s="162"/>
    </row>
    <row r="45" spans="1:16">
      <c r="A45" s="156"/>
      <c r="B45" s="155"/>
      <c r="C45" s="157"/>
      <c r="D45" s="158"/>
      <c r="E45" s="158"/>
      <c r="F45" s="158"/>
      <c r="G45" s="158"/>
      <c r="H45" s="158"/>
      <c r="I45" s="158"/>
      <c r="J45" s="158"/>
    </row>
    <row r="46" spans="1:16">
      <c r="A46" s="156"/>
      <c r="B46" s="155"/>
      <c r="C46" s="157"/>
      <c r="D46" s="158"/>
      <c r="E46" s="158"/>
      <c r="F46" s="158"/>
      <c r="G46" s="158"/>
      <c r="H46" s="158"/>
      <c r="I46" s="158"/>
      <c r="J46" s="158"/>
    </row>
    <row r="47" spans="1:16">
      <c r="A47" s="156"/>
      <c r="B47" s="155"/>
      <c r="C47" s="157"/>
      <c r="D47" s="158"/>
      <c r="E47" s="158"/>
      <c r="F47" s="158"/>
      <c r="G47" s="158"/>
      <c r="H47" s="158"/>
      <c r="I47" s="158"/>
      <c r="J47" s="158"/>
    </row>
    <row r="48" spans="1:16">
      <c r="A48" s="156"/>
      <c r="B48" s="155"/>
      <c r="C48" s="157"/>
      <c r="D48" s="158"/>
      <c r="E48" s="158"/>
      <c r="F48" s="158"/>
      <c r="G48" s="158"/>
      <c r="H48" s="158"/>
      <c r="I48" s="158"/>
      <c r="J48" s="158"/>
    </row>
    <row r="49" spans="1:11">
      <c r="A49" s="156"/>
      <c r="B49" s="155"/>
      <c r="C49" s="157"/>
      <c r="D49" s="158"/>
      <c r="E49" s="158"/>
      <c r="F49" s="158"/>
      <c r="G49" s="158"/>
      <c r="H49" s="158"/>
      <c r="I49" s="158"/>
      <c r="J49" s="158"/>
    </row>
    <row r="50" spans="1:11">
      <c r="A50" s="156"/>
      <c r="B50" s="155"/>
      <c r="C50" s="157"/>
      <c r="D50" s="158"/>
      <c r="E50" s="158"/>
      <c r="F50" s="158"/>
      <c r="G50" s="158"/>
      <c r="H50" s="158"/>
      <c r="I50" s="158"/>
      <c r="J50" s="158"/>
    </row>
    <row r="51" spans="1:11">
      <c r="A51" s="156"/>
      <c r="B51" s="155"/>
      <c r="C51" s="157"/>
      <c r="D51" s="158"/>
      <c r="E51" s="158"/>
      <c r="F51" s="158"/>
      <c r="G51" s="158"/>
      <c r="H51" s="158"/>
      <c r="I51" s="158"/>
      <c r="J51" s="158"/>
    </row>
    <row r="52" spans="1:11">
      <c r="A52" s="156"/>
      <c r="B52" s="155"/>
      <c r="C52" s="157"/>
      <c r="D52" s="158"/>
      <c r="E52" s="158"/>
      <c r="F52" s="158"/>
      <c r="G52" s="158"/>
      <c r="H52" s="158"/>
      <c r="I52" s="158"/>
      <c r="J52" s="158"/>
    </row>
    <row r="53" spans="1:11">
      <c r="A53" s="156"/>
      <c r="B53" s="155"/>
      <c r="C53" s="157"/>
      <c r="D53" s="158"/>
      <c r="E53" s="158"/>
      <c r="F53" s="158"/>
      <c r="G53" s="158"/>
      <c r="H53" s="158"/>
      <c r="I53" s="158"/>
      <c r="J53" s="158"/>
    </row>
    <row r="54" spans="1:11">
      <c r="A54" s="156"/>
      <c r="B54" s="155"/>
      <c r="C54" s="157"/>
      <c r="D54" s="158"/>
      <c r="E54" s="158"/>
      <c r="F54" s="158"/>
      <c r="G54" s="158"/>
      <c r="H54" s="158"/>
      <c r="I54" s="158"/>
      <c r="J54" s="158"/>
    </row>
    <row r="55" spans="1:11">
      <c r="A55" s="156"/>
      <c r="B55" s="155"/>
      <c r="C55" s="157"/>
      <c r="D55" s="158"/>
      <c r="E55" s="158"/>
      <c r="F55" s="158"/>
      <c r="G55" s="158"/>
      <c r="H55" s="158"/>
      <c r="I55" s="158"/>
      <c r="J55" s="158"/>
      <c r="K55" s="47"/>
    </row>
    <row r="56" spans="1:11">
      <c r="A56" s="156"/>
      <c r="B56" s="155"/>
      <c r="C56" s="157"/>
      <c r="D56" s="158"/>
      <c r="E56" s="158"/>
      <c r="F56" s="158"/>
      <c r="G56" s="158"/>
      <c r="H56" s="158"/>
      <c r="I56" s="158"/>
      <c r="J56" s="158"/>
      <c r="K56" s="47"/>
    </row>
    <row r="57" spans="1:11">
      <c r="A57" s="156"/>
      <c r="B57" s="155"/>
      <c r="C57" s="157"/>
      <c r="D57" s="158"/>
      <c r="E57" s="158"/>
      <c r="F57" s="158"/>
      <c r="G57" s="158"/>
      <c r="H57" s="158"/>
      <c r="I57" s="158"/>
      <c r="J57" s="158"/>
      <c r="K57" s="47"/>
    </row>
    <row r="58" spans="1:11">
      <c r="A58" s="156"/>
      <c r="B58" s="155"/>
      <c r="C58" s="157"/>
      <c r="D58" s="158"/>
      <c r="E58" s="158"/>
      <c r="F58" s="158"/>
      <c r="G58" s="158"/>
      <c r="H58" s="158"/>
      <c r="I58" s="158"/>
      <c r="J58" s="158"/>
      <c r="K58" s="158"/>
    </row>
    <row r="59" spans="1:11">
      <c r="A59" s="156"/>
      <c r="B59" s="155"/>
      <c r="C59" s="157"/>
      <c r="D59" s="158"/>
      <c r="E59" s="158"/>
      <c r="F59" s="158"/>
      <c r="G59" s="158"/>
      <c r="H59" s="158"/>
      <c r="I59" s="158"/>
      <c r="J59" s="158"/>
      <c r="K59" s="158"/>
    </row>
    <row r="60" spans="1:11">
      <c r="A60" s="156"/>
      <c r="B60" s="155"/>
      <c r="C60" s="157"/>
      <c r="D60" s="158"/>
      <c r="E60" s="158"/>
      <c r="F60" s="158"/>
      <c r="G60" s="158"/>
      <c r="H60" s="158"/>
      <c r="I60" s="158"/>
      <c r="J60" s="158"/>
      <c r="K60" s="158"/>
    </row>
    <row r="61" spans="1:11">
      <c r="A61" s="156"/>
      <c r="B61" s="155"/>
      <c r="C61" s="157"/>
      <c r="D61" s="158"/>
      <c r="E61" s="158"/>
      <c r="F61" s="158"/>
      <c r="G61" s="158"/>
      <c r="H61" s="158"/>
      <c r="I61" s="158"/>
      <c r="J61" s="158"/>
      <c r="K61" s="158"/>
    </row>
    <row r="62" spans="1:11">
      <c r="A62" s="156"/>
      <c r="B62" s="155"/>
      <c r="C62" s="157"/>
      <c r="D62" s="158"/>
      <c r="E62" s="158"/>
      <c r="F62" s="158"/>
      <c r="G62" s="158"/>
      <c r="H62" s="158"/>
      <c r="I62" s="158"/>
      <c r="J62" s="158"/>
      <c r="K62" s="158"/>
    </row>
    <row r="63" spans="1:11">
      <c r="A63" s="156"/>
      <c r="B63" s="155"/>
      <c r="C63" s="157"/>
      <c r="D63" s="158"/>
      <c r="E63" s="158"/>
      <c r="F63" s="158"/>
      <c r="G63" s="158"/>
      <c r="H63" s="158"/>
      <c r="I63" s="158"/>
      <c r="J63" s="158"/>
      <c r="K63" s="158"/>
    </row>
    <row r="64" spans="1:11">
      <c r="A64" s="156"/>
      <c r="B64" s="155"/>
      <c r="C64" s="157"/>
      <c r="D64" s="158"/>
      <c r="E64" s="158"/>
      <c r="F64" s="158"/>
      <c r="G64" s="158"/>
      <c r="H64" s="158"/>
      <c r="I64" s="158"/>
      <c r="J64" s="158"/>
      <c r="K64" s="158"/>
    </row>
    <row r="65" spans="1:12">
      <c r="A65" s="156"/>
      <c r="B65" s="155"/>
      <c r="C65" s="157"/>
      <c r="D65" s="158"/>
      <c r="E65" s="158"/>
      <c r="F65" s="158"/>
      <c r="G65" s="158"/>
      <c r="H65" s="158"/>
      <c r="I65" s="158"/>
      <c r="J65" s="158"/>
      <c r="K65" s="158"/>
    </row>
    <row r="66" spans="1:12">
      <c r="A66" s="156"/>
      <c r="B66" s="155"/>
      <c r="C66" s="157"/>
      <c r="D66" s="158"/>
      <c r="E66" s="158"/>
      <c r="F66" s="158"/>
      <c r="G66" s="158"/>
      <c r="H66" s="158"/>
      <c r="I66" s="158"/>
      <c r="J66" s="158"/>
      <c r="K66" s="158"/>
    </row>
    <row r="67" spans="1:12">
      <c r="A67" s="156"/>
      <c r="B67" s="155"/>
      <c r="C67" s="157"/>
      <c r="D67" s="158"/>
      <c r="E67" s="158"/>
      <c r="F67" s="158"/>
      <c r="G67" s="158"/>
      <c r="H67" s="158"/>
      <c r="I67" s="158"/>
      <c r="J67" s="158"/>
      <c r="K67" s="158"/>
    </row>
    <row r="68" spans="1:12">
      <c r="A68" s="156"/>
      <c r="B68" s="155"/>
      <c r="C68" s="157"/>
      <c r="D68" s="158"/>
      <c r="E68" s="158"/>
      <c r="F68" s="158"/>
      <c r="G68" s="158"/>
      <c r="H68" s="158"/>
      <c r="I68" s="158"/>
      <c r="J68" s="158"/>
    </row>
    <row r="69" spans="1:12">
      <c r="A69" s="156"/>
      <c r="B69" s="155"/>
      <c r="C69" s="157"/>
      <c r="D69" s="158"/>
      <c r="E69" s="158"/>
      <c r="F69" s="158"/>
      <c r="G69" s="157"/>
      <c r="H69" s="158"/>
      <c r="I69" s="158"/>
      <c r="J69" s="158"/>
      <c r="K69" s="158"/>
    </row>
    <row r="70" spans="1:12">
      <c r="A70" s="156"/>
      <c r="B70" s="155"/>
      <c r="C70" s="157"/>
      <c r="D70" s="158"/>
      <c r="E70" s="158"/>
      <c r="F70" s="158"/>
      <c r="G70" s="157"/>
      <c r="H70" s="158"/>
      <c r="I70" s="158"/>
      <c r="J70" s="158"/>
      <c r="K70" s="158"/>
    </row>
    <row r="71" spans="1:12">
      <c r="A71" s="156"/>
      <c r="B71" s="155"/>
      <c r="C71" s="157"/>
      <c r="D71" s="158"/>
      <c r="E71" s="158"/>
      <c r="F71" s="158"/>
      <c r="G71" s="158"/>
      <c r="H71" s="158"/>
      <c r="I71" s="158"/>
      <c r="J71" s="158"/>
      <c r="K71" s="158"/>
    </row>
    <row r="72" spans="1:12">
      <c r="A72" s="156"/>
      <c r="B72" s="155"/>
      <c r="C72" s="157"/>
      <c r="D72" s="157"/>
      <c r="E72" s="157"/>
      <c r="F72" s="157"/>
      <c r="G72" s="157"/>
      <c r="H72" s="157"/>
      <c r="I72" s="157"/>
      <c r="J72" s="158"/>
      <c r="K72" s="158"/>
    </row>
    <row r="73" spans="1:12">
      <c r="A73" s="156"/>
      <c r="B73" s="155"/>
      <c r="C73" s="157"/>
      <c r="D73" s="158"/>
      <c r="E73" s="158"/>
      <c r="F73" s="158"/>
      <c r="G73" s="157"/>
      <c r="H73" s="158"/>
      <c r="I73" s="158"/>
      <c r="J73" s="158"/>
      <c r="K73" s="158"/>
    </row>
    <row r="74" spans="1:12">
      <c r="A74" s="156"/>
      <c r="B74" s="155"/>
      <c r="C74" s="157"/>
      <c r="D74" s="158"/>
      <c r="E74" s="158"/>
      <c r="F74" s="158"/>
      <c r="G74" s="158"/>
      <c r="H74" s="158"/>
      <c r="I74" s="158"/>
      <c r="J74" s="158"/>
      <c r="K74" s="158"/>
    </row>
    <row r="75" spans="1:12">
      <c r="A75" s="156"/>
      <c r="B75" s="155"/>
      <c r="C75" s="157"/>
      <c r="D75" s="158"/>
      <c r="E75" s="158"/>
      <c r="F75" s="158"/>
      <c r="G75" s="158"/>
      <c r="H75" s="158"/>
      <c r="I75" s="158"/>
      <c r="J75" s="158"/>
      <c r="K75" s="158"/>
    </row>
    <row r="76" spans="1:12">
      <c r="A76" s="155"/>
      <c r="B76" s="155"/>
      <c r="C76" s="157"/>
      <c r="D76" s="157"/>
      <c r="E76" s="157"/>
      <c r="F76" s="157"/>
      <c r="G76" s="158"/>
      <c r="H76" s="157"/>
      <c r="I76" s="157"/>
      <c r="J76" s="157"/>
      <c r="K76" s="158"/>
      <c r="L76" s="157"/>
    </row>
    <row r="77" spans="1:12">
      <c r="A77" s="156"/>
      <c r="B77" s="155"/>
      <c r="C77" s="157"/>
      <c r="D77" s="158"/>
      <c r="E77" s="158"/>
      <c r="F77" s="158"/>
      <c r="G77" s="158"/>
      <c r="H77" s="158"/>
      <c r="I77" s="158"/>
      <c r="J77" s="158"/>
      <c r="K77" s="158"/>
    </row>
    <row r="78" spans="1:12">
      <c r="A78" s="156"/>
      <c r="B78" s="155"/>
      <c r="C78" s="157"/>
      <c r="D78" s="158"/>
      <c r="E78" s="158"/>
      <c r="F78" s="158"/>
      <c r="G78" s="158"/>
      <c r="H78" s="158"/>
      <c r="I78" s="158"/>
      <c r="J78" s="158"/>
      <c r="K78" s="158"/>
    </row>
    <row r="79" spans="1:12">
      <c r="A79" s="156"/>
      <c r="B79" s="155"/>
      <c r="C79" s="157"/>
      <c r="D79" s="158"/>
      <c r="E79" s="158"/>
      <c r="F79" s="158"/>
      <c r="G79" s="158"/>
      <c r="H79" s="158"/>
      <c r="I79" s="158"/>
      <c r="J79" s="158"/>
      <c r="K79" s="158"/>
    </row>
    <row r="80" spans="1:12">
      <c r="A80" s="156"/>
      <c r="B80" s="155"/>
      <c r="C80" s="157"/>
      <c r="D80" s="158"/>
      <c r="E80" s="158"/>
      <c r="F80" s="158"/>
      <c r="G80" s="158"/>
      <c r="H80" s="158"/>
      <c r="I80" s="158"/>
      <c r="J80" s="158"/>
      <c r="K80" s="158"/>
    </row>
    <row r="81" spans="1:12">
      <c r="A81" s="156"/>
      <c r="B81" s="155"/>
      <c r="C81" s="157"/>
      <c r="D81" s="158"/>
      <c r="E81" s="158"/>
      <c r="F81" s="158"/>
      <c r="G81" s="158"/>
      <c r="H81" s="158"/>
      <c r="I81" s="158"/>
      <c r="J81" s="158"/>
      <c r="K81" s="158"/>
      <c r="L81" s="157"/>
    </row>
    <row r="82" spans="1:12">
      <c r="A82" s="156"/>
      <c r="B82" s="155"/>
      <c r="C82" s="157"/>
      <c r="D82" s="158"/>
      <c r="E82" s="158"/>
      <c r="F82" s="158"/>
      <c r="G82" s="158"/>
      <c r="H82" s="158"/>
      <c r="I82" s="158"/>
      <c r="J82" s="158"/>
      <c r="K82" s="158"/>
    </row>
    <row r="83" spans="1:12">
      <c r="A83" s="161"/>
      <c r="B83" s="155"/>
      <c r="C83" s="157"/>
      <c r="D83" s="158"/>
      <c r="E83" s="158"/>
      <c r="F83" s="158"/>
      <c r="G83" s="157"/>
      <c r="H83" s="158"/>
      <c r="I83" s="158"/>
      <c r="J83" s="158"/>
      <c r="K83" s="158"/>
    </row>
    <row r="84" spans="1:12">
      <c r="A84" s="161"/>
      <c r="B84" s="155"/>
      <c r="C84" s="157"/>
      <c r="D84" s="158"/>
      <c r="E84" s="158"/>
      <c r="F84" s="158"/>
      <c r="G84" s="158"/>
      <c r="H84" s="158"/>
      <c r="I84" s="158"/>
      <c r="J84" s="158"/>
      <c r="K84" s="158"/>
    </row>
    <row r="85" spans="1:12">
      <c r="A85" s="156"/>
      <c r="B85" s="155"/>
      <c r="C85" s="157"/>
      <c r="D85" s="158"/>
      <c r="E85" s="158"/>
      <c r="F85" s="158"/>
      <c r="G85" s="158"/>
      <c r="H85" s="157"/>
      <c r="I85" s="157"/>
      <c r="J85" s="157"/>
      <c r="K85" s="158"/>
    </row>
    <row r="86" spans="1:12">
      <c r="A86" s="156"/>
      <c r="B86" s="155"/>
      <c r="C86" s="157"/>
      <c r="D86" s="158"/>
      <c r="E86" s="158"/>
      <c r="F86" s="158"/>
      <c r="G86" s="158"/>
      <c r="H86" s="158"/>
      <c r="I86" s="158"/>
      <c r="J86" s="158"/>
      <c r="K86" s="158"/>
    </row>
    <row r="87" spans="1:12">
      <c r="A87" s="156"/>
      <c r="B87" s="155"/>
      <c r="C87" s="157"/>
      <c r="D87" s="158"/>
      <c r="E87" s="158"/>
      <c r="F87" s="158"/>
      <c r="G87" s="158"/>
      <c r="H87" s="158"/>
      <c r="I87" s="158"/>
      <c r="J87" s="158"/>
      <c r="K87" s="158"/>
    </row>
    <row r="88" spans="1:12">
      <c r="A88" s="156"/>
      <c r="B88" s="155"/>
      <c r="C88" s="157"/>
      <c r="D88" s="157"/>
      <c r="E88" s="157"/>
      <c r="F88" s="157"/>
      <c r="G88" s="158"/>
      <c r="H88" s="157"/>
      <c r="I88" s="157"/>
      <c r="J88" s="157"/>
      <c r="K88" s="157"/>
    </row>
    <row r="89" spans="1:12">
      <c r="A89" s="156"/>
      <c r="B89" s="155"/>
      <c r="C89" s="157"/>
      <c r="D89" s="157"/>
      <c r="E89" s="157"/>
      <c r="F89" s="157"/>
      <c r="G89" s="158"/>
      <c r="H89" s="157"/>
      <c r="I89" s="157"/>
      <c r="J89" s="157"/>
      <c r="K89" s="157"/>
    </row>
    <row r="90" spans="1:12">
      <c r="A90" s="156"/>
      <c r="B90" s="155"/>
      <c r="C90" s="157"/>
      <c r="D90" s="157"/>
      <c r="E90" s="157"/>
      <c r="F90" s="157"/>
      <c r="G90" s="158"/>
      <c r="H90" s="157"/>
      <c r="I90" s="157"/>
      <c r="J90" s="157"/>
      <c r="K90" s="157"/>
    </row>
    <row r="91" spans="1:12">
      <c r="A91" s="156"/>
      <c r="B91" s="155"/>
      <c r="C91" s="157"/>
      <c r="D91" s="157"/>
      <c r="E91" s="157"/>
      <c r="F91" s="157"/>
      <c r="G91" s="158"/>
      <c r="H91" s="157"/>
      <c r="I91" s="157"/>
      <c r="J91" s="157"/>
      <c r="K91" s="157"/>
    </row>
    <row r="92" spans="1:12">
      <c r="A92" s="156"/>
      <c r="B92" s="155"/>
      <c r="C92" s="157"/>
      <c r="D92" s="157"/>
      <c r="E92" s="157"/>
      <c r="F92" s="157"/>
      <c r="G92" s="158"/>
      <c r="H92" s="157"/>
      <c r="I92" s="157"/>
      <c r="J92" s="157"/>
      <c r="K92" s="157"/>
    </row>
    <row r="93" spans="1:12">
      <c r="A93" s="156"/>
      <c r="B93" s="155"/>
      <c r="C93" s="157"/>
      <c r="D93" s="157"/>
      <c r="E93" s="157"/>
      <c r="F93" s="157"/>
      <c r="G93" s="158"/>
      <c r="H93" s="157"/>
      <c r="I93" s="157"/>
      <c r="J93" s="157"/>
      <c r="K93" s="157"/>
    </row>
    <row r="94" spans="1:12">
      <c r="A94" s="156"/>
      <c r="B94" s="155"/>
      <c r="C94" s="157"/>
      <c r="D94" s="157"/>
      <c r="E94" s="157"/>
      <c r="F94" s="157"/>
      <c r="G94" s="158"/>
      <c r="H94" s="157"/>
      <c r="I94" s="157"/>
      <c r="J94" s="157"/>
      <c r="K94" s="157"/>
    </row>
    <row r="95" spans="1:12">
      <c r="A95" s="156"/>
      <c r="B95" s="155"/>
      <c r="C95" s="157"/>
      <c r="D95" s="157"/>
      <c r="E95" s="157"/>
      <c r="F95" s="157"/>
      <c r="G95" s="158"/>
      <c r="H95" s="157"/>
      <c r="I95" s="157"/>
      <c r="J95" s="157"/>
      <c r="K95" s="157"/>
    </row>
    <row r="96" spans="1:12">
      <c r="A96" s="156"/>
      <c r="B96" s="155"/>
      <c r="C96" s="157"/>
      <c r="D96" s="157"/>
      <c r="E96" s="157"/>
      <c r="F96" s="157"/>
      <c r="G96" s="158"/>
      <c r="H96" s="157"/>
      <c r="I96" s="157"/>
      <c r="J96" s="157"/>
      <c r="K96" s="157"/>
    </row>
    <row r="97" spans="1:12">
      <c r="A97" s="156"/>
      <c r="B97" s="155"/>
      <c r="C97" s="157"/>
      <c r="D97" s="157"/>
      <c r="E97" s="157"/>
      <c r="F97" s="157"/>
      <c r="H97" s="157"/>
      <c r="I97" s="157"/>
      <c r="J97" s="157"/>
      <c r="K97" s="157"/>
    </row>
    <row r="98" spans="1:12">
      <c r="A98" s="156"/>
      <c r="B98" s="155"/>
      <c r="C98" s="157"/>
      <c r="D98" s="157"/>
      <c r="E98" s="157"/>
      <c r="F98" s="157"/>
      <c r="G98" s="158"/>
      <c r="H98" s="157"/>
      <c r="I98" s="157"/>
      <c r="J98" s="157"/>
      <c r="K98" s="157"/>
    </row>
    <row r="99" spans="1:12">
      <c r="A99" s="156"/>
      <c r="B99" s="155"/>
      <c r="C99" s="157"/>
      <c r="D99" s="157"/>
      <c r="E99" s="157"/>
      <c r="F99" s="157"/>
      <c r="G99" s="158"/>
      <c r="H99" s="157"/>
      <c r="I99" s="157"/>
      <c r="J99" s="157"/>
      <c r="K99" s="157"/>
    </row>
    <row r="100" spans="1:12">
      <c r="A100" s="156"/>
      <c r="B100" s="155"/>
      <c r="C100" s="157"/>
      <c r="D100" s="157"/>
      <c r="E100" s="157"/>
      <c r="F100" s="157"/>
      <c r="G100" s="158"/>
      <c r="H100" s="157"/>
      <c r="I100" s="157"/>
      <c r="J100" s="157"/>
      <c r="K100" s="157"/>
    </row>
    <row r="101" spans="1:12">
      <c r="A101" s="156"/>
      <c r="B101" s="155"/>
      <c r="C101" s="157"/>
      <c r="D101" s="157"/>
      <c r="E101" s="157"/>
      <c r="F101" s="157"/>
      <c r="G101" s="158"/>
      <c r="H101" s="157"/>
      <c r="I101" s="157"/>
      <c r="J101" s="157"/>
      <c r="K101" s="157"/>
    </row>
    <row r="102" spans="1:12">
      <c r="A102" s="156"/>
      <c r="B102" s="155"/>
      <c r="C102" s="157"/>
      <c r="D102" s="157"/>
      <c r="E102" s="157"/>
      <c r="F102" s="157"/>
      <c r="G102" s="158"/>
      <c r="H102" s="157"/>
      <c r="I102" s="157"/>
      <c r="J102" s="157"/>
      <c r="K102" s="157"/>
    </row>
    <row r="103" spans="1:12">
      <c r="A103" s="156"/>
      <c r="B103" s="155"/>
      <c r="C103" s="157"/>
      <c r="D103" s="158"/>
      <c r="E103" s="158"/>
      <c r="F103" s="158"/>
      <c r="G103" s="158"/>
      <c r="H103" s="157"/>
      <c r="I103" s="157"/>
      <c r="J103" s="157"/>
      <c r="K103" s="158"/>
    </row>
    <row r="104" spans="1:12">
      <c r="A104" s="156"/>
      <c r="B104" s="155"/>
      <c r="C104" s="157"/>
      <c r="D104" s="158"/>
      <c r="E104" s="158"/>
      <c r="F104" s="158"/>
      <c r="G104" s="158"/>
      <c r="H104" s="157"/>
      <c r="I104" s="157"/>
      <c r="J104" s="157"/>
    </row>
    <row r="105" spans="1:12">
      <c r="A105" s="156"/>
      <c r="B105" s="155"/>
      <c r="C105" s="157"/>
      <c r="D105" s="158"/>
      <c r="E105" s="158"/>
      <c r="F105" s="158"/>
      <c r="G105" s="158"/>
      <c r="H105" s="157"/>
      <c r="I105" s="157"/>
      <c r="J105" s="157"/>
      <c r="K105" s="158"/>
    </row>
    <row r="106" spans="1:12">
      <c r="A106" s="156"/>
      <c r="B106" s="155"/>
      <c r="C106" s="157"/>
      <c r="D106" s="158"/>
      <c r="E106" s="158"/>
      <c r="F106" s="158"/>
      <c r="G106" s="158"/>
      <c r="H106" s="157"/>
      <c r="I106" s="157"/>
      <c r="J106" s="157"/>
      <c r="K106" s="158"/>
    </row>
    <row r="107" spans="1:12">
      <c r="A107" s="156"/>
      <c r="B107" s="155"/>
      <c r="C107" s="157"/>
      <c r="D107" s="158"/>
      <c r="E107" s="158"/>
      <c r="F107" s="158"/>
      <c r="G107" s="158"/>
      <c r="H107" s="158"/>
      <c r="I107" s="158"/>
      <c r="J107" s="158"/>
      <c r="K107" s="158"/>
      <c r="L107" s="157"/>
    </row>
    <row r="108" spans="1:12">
      <c r="A108" s="156"/>
      <c r="B108" s="155"/>
      <c r="C108" s="157"/>
      <c r="D108" s="158"/>
      <c r="E108" s="158"/>
      <c r="F108" s="158"/>
      <c r="G108" s="158"/>
      <c r="H108" s="158"/>
      <c r="I108" s="158"/>
      <c r="J108" s="158"/>
      <c r="K108" s="158"/>
      <c r="L108" s="157"/>
    </row>
    <row r="109" spans="1:12">
      <c r="A109" s="156"/>
      <c r="B109" s="155"/>
      <c r="C109" s="157"/>
      <c r="D109" s="158"/>
      <c r="E109" s="158"/>
      <c r="F109" s="158"/>
      <c r="G109" s="158"/>
      <c r="H109" s="158"/>
      <c r="I109" s="158"/>
      <c r="J109" s="158"/>
      <c r="K109" s="158"/>
    </row>
    <row r="110" spans="1:12">
      <c r="A110" s="156"/>
      <c r="C110" s="157"/>
      <c r="D110" s="158"/>
      <c r="E110" s="158"/>
      <c r="F110" s="158"/>
      <c r="H110" s="158"/>
      <c r="I110" s="158"/>
      <c r="J110" s="158"/>
      <c r="K110" s="158"/>
    </row>
    <row r="111" spans="1:12">
      <c r="A111" s="156"/>
      <c r="B111" s="155"/>
      <c r="C111" s="157"/>
      <c r="D111" s="158"/>
      <c r="E111" s="158"/>
      <c r="F111" s="158"/>
      <c r="G111" s="158"/>
      <c r="H111" s="158"/>
      <c r="I111" s="158"/>
      <c r="J111" s="158"/>
      <c r="K111" s="158"/>
    </row>
    <row r="112" spans="1:12">
      <c r="A112" s="156"/>
      <c r="B112" s="155"/>
      <c r="C112" s="157"/>
      <c r="D112" s="158"/>
      <c r="E112" s="158"/>
      <c r="F112" s="158"/>
      <c r="G112" s="158"/>
      <c r="H112" s="158"/>
      <c r="I112" s="158"/>
      <c r="J112" s="158"/>
      <c r="K112" s="158"/>
    </row>
    <row r="113" spans="1:12">
      <c r="A113" s="156"/>
      <c r="B113" s="155"/>
      <c r="C113" s="157"/>
      <c r="D113" s="158"/>
      <c r="E113" s="158"/>
      <c r="F113" s="158"/>
      <c r="G113" s="158"/>
      <c r="H113" s="158"/>
      <c r="I113" s="158"/>
      <c r="J113" s="158"/>
      <c r="K113" s="158"/>
    </row>
    <row r="114" spans="1:12">
      <c r="A114" s="156"/>
      <c r="B114" s="155"/>
      <c r="C114" s="157"/>
      <c r="D114" s="158"/>
      <c r="E114" s="158"/>
      <c r="F114" s="158"/>
      <c r="G114" s="158"/>
      <c r="H114" s="158"/>
      <c r="I114" s="158"/>
      <c r="J114" s="158"/>
      <c r="K114" s="158"/>
    </row>
    <row r="115" spans="1:12">
      <c r="A115" s="156"/>
      <c r="B115" s="155"/>
      <c r="C115" s="157"/>
      <c r="D115" s="158"/>
      <c r="E115" s="158"/>
      <c r="F115" s="158"/>
      <c r="G115" s="158"/>
      <c r="H115" s="158"/>
      <c r="I115" s="158"/>
      <c r="J115" s="158"/>
      <c r="K115" s="158"/>
    </row>
    <row r="116" spans="1:12">
      <c r="A116" s="156"/>
      <c r="B116" s="155"/>
      <c r="C116" s="157"/>
      <c r="D116" s="158"/>
      <c r="E116" s="158"/>
      <c r="F116" s="158"/>
      <c r="G116" s="158"/>
      <c r="H116" s="158"/>
      <c r="I116" s="158"/>
      <c r="J116" s="158"/>
      <c r="K116" s="158"/>
    </row>
    <row r="117" spans="1:12">
      <c r="A117" s="156"/>
      <c r="B117" s="155"/>
      <c r="C117" s="157"/>
      <c r="D117" s="157"/>
      <c r="E117" s="157"/>
      <c r="F117" s="157"/>
      <c r="G117" s="157"/>
      <c r="H117" s="157"/>
      <c r="I117" s="157"/>
      <c r="J117" s="157"/>
      <c r="K117" s="157"/>
    </row>
    <row r="118" spans="1:12">
      <c r="A118" s="156"/>
      <c r="B118" s="155"/>
      <c r="C118" s="157"/>
      <c r="D118" s="158"/>
      <c r="E118" s="158"/>
      <c r="F118" s="158"/>
      <c r="G118" s="158"/>
      <c r="H118" s="158"/>
      <c r="I118" s="158"/>
      <c r="J118" s="158"/>
      <c r="K118" s="158"/>
    </row>
    <row r="119" spans="1:12">
      <c r="A119" s="156"/>
      <c r="B119" s="155"/>
      <c r="C119" s="157"/>
      <c r="D119" s="158"/>
      <c r="E119" s="158"/>
      <c r="F119" s="158"/>
      <c r="G119" s="158"/>
      <c r="H119" s="158"/>
      <c r="I119" s="158"/>
      <c r="J119" s="158"/>
      <c r="K119" s="158"/>
      <c r="L119" s="157"/>
    </row>
    <row r="120" spans="1:12">
      <c r="A120" s="156"/>
      <c r="B120" s="155"/>
      <c r="C120" s="157"/>
      <c r="D120" s="158"/>
      <c r="E120" s="158"/>
      <c r="F120" s="158"/>
      <c r="G120" s="158"/>
      <c r="H120" s="158"/>
      <c r="I120" s="158"/>
      <c r="J120" s="158"/>
      <c r="K120" s="158"/>
    </row>
    <row r="121" spans="1:12">
      <c r="A121" s="156"/>
      <c r="B121" s="155"/>
      <c r="C121" s="157"/>
      <c r="D121" s="158"/>
      <c r="E121" s="158"/>
      <c r="F121" s="158"/>
      <c r="G121" s="158"/>
      <c r="H121" s="158"/>
      <c r="I121" s="158"/>
      <c r="J121" s="158"/>
      <c r="K121" s="158"/>
    </row>
    <row r="122" spans="1:12">
      <c r="A122" s="156"/>
      <c r="B122" s="155"/>
      <c r="C122" s="157"/>
      <c r="D122" s="158"/>
      <c r="E122" s="158"/>
      <c r="F122" s="158"/>
      <c r="G122" s="158"/>
      <c r="H122" s="158"/>
      <c r="I122" s="158"/>
      <c r="J122" s="158"/>
      <c r="K122" s="158"/>
    </row>
    <row r="123" spans="1:12">
      <c r="A123" s="156"/>
      <c r="B123" s="155"/>
      <c r="C123" s="157"/>
      <c r="D123" s="158"/>
      <c r="E123" s="158"/>
      <c r="F123" s="158"/>
      <c r="G123" s="158"/>
      <c r="H123" s="158"/>
      <c r="I123" s="158"/>
      <c r="J123" s="158"/>
      <c r="K123" s="158"/>
    </row>
    <row r="124" spans="1:12">
      <c r="A124" s="156"/>
      <c r="B124" s="155"/>
      <c r="C124" s="157"/>
      <c r="D124" s="158"/>
      <c r="E124" s="158"/>
      <c r="F124" s="158"/>
      <c r="G124" s="158"/>
      <c r="H124" s="158"/>
      <c r="I124" s="158"/>
      <c r="J124" s="158"/>
      <c r="K124" s="158"/>
    </row>
    <row r="125" spans="1:12">
      <c r="A125" s="156"/>
      <c r="B125" s="155"/>
      <c r="C125" s="157"/>
      <c r="D125" s="158"/>
      <c r="E125" s="158"/>
      <c r="F125" s="158"/>
      <c r="G125" s="158"/>
      <c r="H125" s="158"/>
      <c r="I125" s="158"/>
      <c r="J125" s="158"/>
      <c r="K125" s="158"/>
    </row>
    <row r="126" spans="1:12">
      <c r="A126" s="156"/>
      <c r="B126" s="155"/>
      <c r="C126" s="157"/>
      <c r="D126" s="158"/>
      <c r="E126" s="158"/>
      <c r="F126" s="158"/>
      <c r="G126" s="158"/>
      <c r="H126" s="158"/>
      <c r="I126" s="158"/>
      <c r="J126" s="158"/>
      <c r="K126" s="158"/>
    </row>
    <row r="127" spans="1:12">
      <c r="A127" s="156"/>
      <c r="B127" s="155"/>
      <c r="C127" s="157"/>
      <c r="D127" s="158"/>
      <c r="E127" s="158"/>
      <c r="F127" s="158"/>
      <c r="G127" s="158"/>
      <c r="H127" s="158"/>
      <c r="I127" s="158"/>
      <c r="J127" s="158"/>
      <c r="K127" s="158"/>
    </row>
    <row r="128" spans="1:12">
      <c r="A128" s="156"/>
      <c r="B128" s="155"/>
      <c r="C128" s="157"/>
      <c r="D128" s="158"/>
      <c r="E128" s="158"/>
      <c r="F128" s="158"/>
      <c r="G128" s="158"/>
      <c r="H128" s="158"/>
      <c r="I128" s="158"/>
      <c r="J128" s="158"/>
      <c r="K128" s="158"/>
    </row>
    <row r="129" spans="1:12">
      <c r="A129" s="156"/>
      <c r="B129" s="155"/>
      <c r="C129" s="157"/>
      <c r="D129" s="158"/>
      <c r="E129" s="158"/>
      <c r="F129" s="158"/>
      <c r="G129" s="158"/>
      <c r="H129" s="158"/>
      <c r="I129" s="158"/>
      <c r="J129" s="158"/>
      <c r="K129" s="158"/>
    </row>
    <row r="130" spans="1:12">
      <c r="A130" s="156"/>
      <c r="B130" s="155"/>
      <c r="C130" s="157"/>
      <c r="D130" s="158"/>
      <c r="E130" s="158"/>
      <c r="F130" s="158"/>
      <c r="G130" s="158"/>
      <c r="H130" s="158"/>
      <c r="I130" s="158"/>
      <c r="J130" s="158"/>
      <c r="K130" s="158"/>
    </row>
    <row r="131" spans="1:12">
      <c r="A131" s="156"/>
      <c r="B131" s="155"/>
      <c r="C131" s="157"/>
      <c r="D131" s="158"/>
      <c r="E131" s="158"/>
      <c r="F131" s="158"/>
      <c r="G131" s="158"/>
      <c r="H131" s="158"/>
      <c r="I131" s="158"/>
      <c r="J131" s="158"/>
      <c r="K131" s="158"/>
    </row>
    <row r="132" spans="1:12">
      <c r="A132" s="156"/>
      <c r="B132" s="155"/>
      <c r="C132" s="157"/>
      <c r="D132" s="158"/>
      <c r="E132" s="158"/>
      <c r="F132" s="158"/>
      <c r="G132" s="158"/>
      <c r="H132" s="158"/>
      <c r="I132" s="158"/>
      <c r="J132" s="158"/>
      <c r="K132" s="158"/>
    </row>
    <row r="133" spans="1:12">
      <c r="A133" s="156"/>
      <c r="B133" s="155"/>
      <c r="C133" s="157"/>
      <c r="D133" s="158"/>
      <c r="E133" s="158"/>
      <c r="F133" s="158"/>
      <c r="G133" s="158"/>
      <c r="H133" s="158"/>
      <c r="I133" s="158"/>
      <c r="J133" s="158"/>
      <c r="K133" s="158"/>
      <c r="L133" s="157"/>
    </row>
    <row r="134" spans="1:12">
      <c r="A134" s="163"/>
      <c r="C134" s="47"/>
      <c r="D134" s="47"/>
      <c r="E134" s="47"/>
      <c r="F134" s="47"/>
      <c r="G134" s="47"/>
      <c r="H134" s="47"/>
      <c r="I134" s="47"/>
      <c r="J134" s="47"/>
    </row>
    <row r="135" spans="1:12">
      <c r="A135" s="163"/>
      <c r="C135" s="47"/>
      <c r="D135" s="47"/>
      <c r="E135" s="47"/>
      <c r="F135" s="47"/>
      <c r="G135" s="47"/>
      <c r="H135" s="47"/>
      <c r="I135" s="47"/>
      <c r="J135" s="47"/>
    </row>
    <row r="136" spans="1:12">
      <c r="A136" s="163"/>
      <c r="C136" s="47"/>
      <c r="D136" s="47"/>
      <c r="E136" s="47"/>
      <c r="F136" s="47"/>
      <c r="G136" s="47"/>
      <c r="H136" s="47"/>
      <c r="I136" s="47"/>
      <c r="J136" s="47"/>
    </row>
    <row r="137" spans="1:12">
      <c r="A137" s="163"/>
      <c r="C137" s="47"/>
      <c r="D137" s="47"/>
      <c r="E137" s="47"/>
      <c r="F137" s="47"/>
      <c r="G137" s="47"/>
      <c r="H137" s="47"/>
      <c r="I137" s="47"/>
      <c r="J137" s="47"/>
    </row>
    <row r="138" spans="1:12">
      <c r="A138" s="163"/>
      <c r="C138" s="47"/>
      <c r="D138" s="47"/>
      <c r="E138" s="47"/>
      <c r="F138" s="47"/>
      <c r="G138" s="47"/>
      <c r="H138" s="47"/>
      <c r="I138" s="47"/>
      <c r="J138" s="47"/>
    </row>
    <row r="139" spans="1:12">
      <c r="A139" s="163"/>
      <c r="C139" s="47"/>
      <c r="D139" s="47"/>
      <c r="E139" s="47"/>
      <c r="F139" s="47"/>
      <c r="G139" s="47"/>
      <c r="H139" s="47"/>
      <c r="I139" s="47"/>
      <c r="J139" s="47"/>
    </row>
    <row r="140" spans="1:12">
      <c r="A140" s="163"/>
      <c r="C140" s="47"/>
      <c r="D140" s="47"/>
      <c r="E140" s="47"/>
      <c r="F140" s="47"/>
      <c r="G140" s="47"/>
      <c r="H140" s="47"/>
      <c r="I140" s="47"/>
      <c r="J140" s="47"/>
    </row>
    <row r="141" spans="1:12">
      <c r="A141" s="163"/>
      <c r="C141" s="47"/>
      <c r="D141" s="47"/>
      <c r="E141" s="47"/>
      <c r="F141" s="47"/>
      <c r="G141" s="47"/>
      <c r="H141" s="47"/>
      <c r="I141" s="47"/>
      <c r="J141" s="47"/>
    </row>
    <row r="142" spans="1:12">
      <c r="A142" s="163"/>
      <c r="C142" s="47"/>
      <c r="D142" s="47"/>
      <c r="E142" s="47"/>
      <c r="F142" s="47"/>
      <c r="G142" s="47"/>
      <c r="H142" s="47"/>
      <c r="I142" s="47"/>
      <c r="J142" s="47"/>
    </row>
    <row r="143" spans="1:12">
      <c r="A143" s="163"/>
      <c r="C143" s="47"/>
      <c r="D143" s="47"/>
      <c r="E143" s="47"/>
      <c r="F143" s="47"/>
      <c r="G143" s="47"/>
      <c r="H143" s="47"/>
      <c r="I143" s="47"/>
      <c r="J143" s="47"/>
    </row>
    <row r="144" spans="1:12">
      <c r="A144" s="163"/>
      <c r="C144" s="47"/>
      <c r="D144" s="47"/>
      <c r="E144" s="47"/>
      <c r="F144" s="47"/>
      <c r="G144" s="47"/>
      <c r="H144" s="47"/>
      <c r="I144" s="47"/>
      <c r="J144" s="47"/>
    </row>
    <row r="145" spans="1:10">
      <c r="A145" s="163"/>
      <c r="C145" s="47"/>
      <c r="D145" s="47"/>
      <c r="E145" s="47"/>
      <c r="F145" s="47"/>
      <c r="G145" s="47"/>
      <c r="H145" s="47"/>
      <c r="I145" s="47"/>
      <c r="J145" s="47"/>
    </row>
    <row r="146" spans="1:10">
      <c r="A146" s="163"/>
      <c r="C146" s="47"/>
      <c r="D146" s="47"/>
      <c r="E146" s="47"/>
      <c r="F146" s="47"/>
      <c r="G146" s="47"/>
      <c r="H146" s="47"/>
      <c r="I146" s="47"/>
      <c r="J146" s="47"/>
    </row>
    <row r="147" spans="1:10">
      <c r="A147" s="163"/>
      <c r="C147" s="47"/>
      <c r="D147" s="47"/>
      <c r="E147" s="47"/>
      <c r="F147" s="47"/>
      <c r="G147" s="47"/>
      <c r="H147" s="47"/>
      <c r="I147" s="47"/>
      <c r="J147" s="47"/>
    </row>
    <row r="148" spans="1:10">
      <c r="A148" s="163"/>
      <c r="C148" s="47"/>
      <c r="D148" s="47"/>
      <c r="E148" s="47"/>
      <c r="F148" s="47"/>
      <c r="G148" s="47"/>
      <c r="H148" s="47"/>
      <c r="I148" s="47"/>
      <c r="J148" s="47"/>
    </row>
    <row r="149" spans="1:10">
      <c r="A149" s="163"/>
      <c r="C149" s="47"/>
      <c r="D149" s="47"/>
      <c r="E149" s="47"/>
      <c r="F149" s="47"/>
      <c r="G149" s="47"/>
      <c r="H149" s="47"/>
      <c r="I149" s="47"/>
      <c r="J149" s="47"/>
    </row>
    <row r="150" spans="1:10">
      <c r="A150" s="163"/>
      <c r="C150" s="47"/>
      <c r="D150" s="47"/>
      <c r="E150" s="47"/>
      <c r="F150" s="47"/>
      <c r="G150" s="47"/>
      <c r="H150" s="47"/>
      <c r="I150" s="47"/>
      <c r="J150" s="47"/>
    </row>
    <row r="151" spans="1:10">
      <c r="A151" s="163"/>
      <c r="C151" s="47"/>
      <c r="D151" s="47"/>
      <c r="E151" s="47"/>
      <c r="F151" s="47"/>
      <c r="G151" s="47"/>
      <c r="H151" s="47"/>
      <c r="I151" s="47"/>
      <c r="J151" s="47"/>
    </row>
    <row r="152" spans="1:10">
      <c r="A152" s="163"/>
      <c r="C152" s="47"/>
      <c r="D152" s="47"/>
      <c r="E152" s="47"/>
      <c r="F152" s="47"/>
      <c r="G152" s="47"/>
      <c r="H152" s="47"/>
      <c r="I152" s="47"/>
      <c r="J152" s="47"/>
    </row>
    <row r="153" spans="1:10">
      <c r="A153" s="163"/>
      <c r="C153" s="47"/>
      <c r="D153" s="47"/>
      <c r="E153" s="47"/>
      <c r="F153" s="47"/>
      <c r="G153" s="47"/>
      <c r="H153" s="47"/>
      <c r="I153" s="47"/>
      <c r="J153" s="47"/>
    </row>
    <row r="154" spans="1:10">
      <c r="A154" s="163"/>
      <c r="C154" s="47"/>
      <c r="D154" s="47"/>
      <c r="E154" s="47"/>
      <c r="F154" s="47"/>
      <c r="G154" s="47"/>
      <c r="H154" s="47"/>
      <c r="I154" s="47"/>
      <c r="J154" s="47"/>
    </row>
    <row r="155" spans="1:10">
      <c r="A155" s="163"/>
      <c r="C155" s="47"/>
      <c r="D155" s="47"/>
      <c r="E155" s="47"/>
      <c r="F155" s="47"/>
      <c r="G155" s="47"/>
      <c r="H155" s="47"/>
      <c r="I155" s="47"/>
      <c r="J155" s="47"/>
    </row>
    <row r="156" spans="1:10">
      <c r="A156" s="163"/>
      <c r="C156" s="47"/>
      <c r="D156" s="47"/>
      <c r="E156" s="47"/>
      <c r="F156" s="47"/>
      <c r="G156" s="47"/>
      <c r="H156" s="47"/>
      <c r="I156" s="47"/>
      <c r="J156" s="47"/>
    </row>
    <row r="157" spans="1:10">
      <c r="A157" s="163"/>
      <c r="C157" s="47"/>
      <c r="D157" s="47"/>
      <c r="E157" s="47"/>
      <c r="F157" s="47"/>
      <c r="G157" s="47"/>
      <c r="H157" s="47"/>
      <c r="I157" s="47"/>
      <c r="J157" s="47"/>
    </row>
    <row r="158" spans="1:10">
      <c r="A158" s="163"/>
      <c r="C158" s="47"/>
      <c r="D158" s="47"/>
      <c r="E158" s="47"/>
      <c r="F158" s="47"/>
      <c r="G158" s="47"/>
      <c r="H158" s="47"/>
      <c r="I158" s="47"/>
      <c r="J158" s="47"/>
    </row>
    <row r="159" spans="1:10">
      <c r="A159" s="163"/>
      <c r="C159" s="47"/>
      <c r="D159" s="47"/>
      <c r="E159" s="47"/>
      <c r="F159" s="47"/>
      <c r="G159" s="47"/>
      <c r="H159" s="47"/>
      <c r="I159" s="47"/>
      <c r="J159" s="47"/>
    </row>
    <row r="160" spans="1:10">
      <c r="A160" s="163"/>
      <c r="C160" s="47"/>
      <c r="D160" s="47"/>
      <c r="E160" s="47"/>
      <c r="F160" s="47"/>
      <c r="G160" s="47"/>
      <c r="H160" s="47"/>
      <c r="I160" s="47"/>
      <c r="J160" s="47"/>
    </row>
    <row r="161" spans="1:10">
      <c r="A161" s="163"/>
      <c r="C161" s="47"/>
      <c r="D161" s="47"/>
      <c r="E161" s="47"/>
      <c r="F161" s="47"/>
      <c r="G161" s="47"/>
      <c r="H161" s="47"/>
      <c r="I161" s="47"/>
      <c r="J161" s="47"/>
    </row>
    <row r="162" spans="1:10">
      <c r="A162" s="163"/>
      <c r="C162" s="47"/>
      <c r="D162" s="47"/>
      <c r="E162" s="47"/>
      <c r="F162" s="47"/>
      <c r="G162" s="47"/>
      <c r="H162" s="47"/>
      <c r="I162" s="47"/>
      <c r="J162" s="47"/>
    </row>
    <row r="163" spans="1:10">
      <c r="A163" s="163"/>
      <c r="C163" s="47"/>
      <c r="D163" s="47"/>
      <c r="E163" s="47"/>
      <c r="F163" s="47"/>
      <c r="G163" s="47"/>
      <c r="H163" s="47"/>
      <c r="I163" s="47"/>
      <c r="J163" s="47"/>
    </row>
    <row r="164" spans="1:10">
      <c r="A164" s="163"/>
      <c r="C164" s="47"/>
      <c r="D164" s="47"/>
      <c r="E164" s="47"/>
      <c r="F164" s="47"/>
      <c r="G164" s="47"/>
      <c r="H164" s="47"/>
      <c r="I164" s="47"/>
      <c r="J164" s="47"/>
    </row>
    <row r="165" spans="1:10">
      <c r="A165" s="163"/>
      <c r="C165" s="47"/>
      <c r="D165" s="47"/>
      <c r="E165" s="47"/>
      <c r="F165" s="47"/>
      <c r="G165" s="47"/>
      <c r="H165" s="47"/>
      <c r="I165" s="47"/>
      <c r="J165" s="47"/>
    </row>
    <row r="166" spans="1:10">
      <c r="A166" s="163"/>
      <c r="C166" s="47"/>
      <c r="D166" s="47"/>
      <c r="E166" s="47"/>
      <c r="F166" s="47"/>
      <c r="G166" s="47"/>
      <c r="H166" s="47"/>
      <c r="I166" s="47"/>
      <c r="J166" s="47"/>
    </row>
    <row r="167" spans="1:10">
      <c r="A167" s="163"/>
      <c r="C167" s="47"/>
      <c r="D167" s="47"/>
      <c r="E167" s="47"/>
      <c r="F167" s="47"/>
      <c r="G167" s="47"/>
      <c r="H167" s="47"/>
      <c r="I167" s="47"/>
      <c r="J167" s="47"/>
    </row>
    <row r="168" spans="1:10">
      <c r="A168" s="163"/>
      <c r="C168" s="47"/>
      <c r="D168" s="47"/>
      <c r="E168" s="47"/>
      <c r="F168" s="47"/>
      <c r="G168" s="47"/>
      <c r="H168" s="47"/>
      <c r="I168" s="47"/>
      <c r="J168" s="47"/>
    </row>
    <row r="169" spans="1:10">
      <c r="A169" s="163"/>
      <c r="C169" s="47"/>
      <c r="D169" s="47"/>
      <c r="E169" s="47"/>
      <c r="F169" s="47"/>
      <c r="G169" s="47"/>
      <c r="H169" s="47"/>
      <c r="I169" s="47"/>
      <c r="J169" s="47"/>
    </row>
    <row r="170" spans="1:10">
      <c r="A170" s="163"/>
      <c r="C170" s="47"/>
      <c r="D170" s="47"/>
      <c r="E170" s="47"/>
      <c r="F170" s="47"/>
      <c r="G170" s="47"/>
      <c r="H170" s="47"/>
      <c r="I170" s="47"/>
      <c r="J170" s="47"/>
    </row>
    <row r="171" spans="1:10">
      <c r="A171" s="163"/>
      <c r="C171" s="47"/>
      <c r="D171" s="47"/>
      <c r="E171" s="47"/>
      <c r="F171" s="47"/>
      <c r="G171" s="47"/>
      <c r="H171" s="47"/>
      <c r="I171" s="47"/>
      <c r="J171" s="47"/>
    </row>
    <row r="172" spans="1:10">
      <c r="A172" s="163"/>
      <c r="C172" s="47"/>
      <c r="D172" s="47"/>
      <c r="E172" s="47"/>
      <c r="F172" s="47"/>
      <c r="G172" s="47"/>
      <c r="H172" s="47"/>
      <c r="I172" s="47"/>
      <c r="J172" s="47"/>
    </row>
    <row r="173" spans="1:10">
      <c r="A173" s="163"/>
      <c r="C173" s="47"/>
      <c r="D173" s="47"/>
      <c r="E173" s="47"/>
      <c r="F173" s="47"/>
      <c r="G173" s="47"/>
      <c r="H173" s="47"/>
      <c r="I173" s="47"/>
      <c r="J173" s="47"/>
    </row>
    <row r="174" spans="1:10">
      <c r="A174" s="163"/>
      <c r="C174" s="47"/>
      <c r="D174" s="47"/>
      <c r="E174" s="47"/>
      <c r="F174" s="47"/>
      <c r="G174" s="47"/>
      <c r="H174" s="47"/>
      <c r="I174" s="47"/>
      <c r="J174" s="47"/>
    </row>
    <row r="175" spans="1:10">
      <c r="A175" s="163"/>
      <c r="C175" s="47"/>
      <c r="D175" s="47"/>
      <c r="E175" s="47"/>
      <c r="F175" s="47"/>
      <c r="G175" s="47"/>
      <c r="H175" s="47"/>
      <c r="I175" s="47"/>
      <c r="J175" s="47"/>
    </row>
    <row r="176" spans="1:10">
      <c r="A176" s="163"/>
      <c r="C176" s="47"/>
      <c r="D176" s="47"/>
      <c r="E176" s="47"/>
      <c r="F176" s="47"/>
      <c r="G176" s="47"/>
      <c r="H176" s="47"/>
      <c r="I176" s="47"/>
      <c r="J176" s="47"/>
    </row>
    <row r="177" spans="1:1">
      <c r="A177" s="163"/>
    </row>
    <row r="178" spans="1:1">
      <c r="A178" s="163"/>
    </row>
    <row r="179" spans="1:1">
      <c r="A179" s="163"/>
    </row>
    <row r="180" spans="1:1">
      <c r="A180" s="163"/>
    </row>
    <row r="181" spans="1:1">
      <c r="A181" s="163"/>
    </row>
    <row r="182" spans="1:1">
      <c r="A182" s="163"/>
    </row>
    <row r="183" spans="1:1">
      <c r="A183" s="163"/>
    </row>
    <row r="184" spans="1:1">
      <c r="A184" s="163"/>
    </row>
    <row r="185" spans="1:1">
      <c r="A185" s="163"/>
    </row>
    <row r="186" spans="1:1">
      <c r="A186" s="163"/>
    </row>
    <row r="187" spans="1:1">
      <c r="A187" s="163"/>
    </row>
    <row r="188" spans="1:1">
      <c r="A188" s="163"/>
    </row>
    <row r="189" spans="1:1">
      <c r="A189" s="163"/>
    </row>
    <row r="190" spans="1:1">
      <c r="A190" s="163"/>
    </row>
    <row r="191" spans="1:1">
      <c r="A191" s="163"/>
    </row>
    <row r="192" spans="1:1">
      <c r="A192" s="163"/>
    </row>
    <row r="193" spans="1:1">
      <c r="A193" s="163"/>
    </row>
    <row r="194" spans="1:1">
      <c r="A194" s="163"/>
    </row>
    <row r="195" spans="1:1">
      <c r="A195" s="163"/>
    </row>
    <row r="196" spans="1:1">
      <c r="A196" s="163"/>
    </row>
    <row r="197" spans="1:1">
      <c r="A197" s="163"/>
    </row>
    <row r="198" spans="1:1">
      <c r="A198" s="163"/>
    </row>
    <row r="199" spans="1:1">
      <c r="A199" s="163"/>
    </row>
    <row r="200" spans="1:1">
      <c r="A200" s="163"/>
    </row>
    <row r="201" spans="1:1">
      <c r="A201" s="163"/>
    </row>
    <row r="202" spans="1:1">
      <c r="A202" s="163"/>
    </row>
    <row r="203" spans="1:1">
      <c r="A203" s="163"/>
    </row>
    <row r="204" spans="1:1">
      <c r="A204" s="163"/>
    </row>
    <row r="205" spans="1:1">
      <c r="A205" s="163"/>
    </row>
    <row r="206" spans="1:1">
      <c r="A206" s="163"/>
    </row>
    <row r="207" spans="1:1">
      <c r="A207" s="163"/>
    </row>
    <row r="208" spans="1:1">
      <c r="A208" s="163"/>
    </row>
    <row r="209" spans="1:1">
      <c r="A209" s="163"/>
    </row>
    <row r="210" spans="1:1">
      <c r="A210" s="163"/>
    </row>
    <row r="211" spans="1:1">
      <c r="A211" s="163"/>
    </row>
    <row r="212" spans="1:1">
      <c r="A212" s="163"/>
    </row>
    <row r="213" spans="1:1">
      <c r="A213" s="163"/>
    </row>
    <row r="214" spans="1:1">
      <c r="A214" s="163"/>
    </row>
    <row r="215" spans="1:1">
      <c r="A215" s="163"/>
    </row>
    <row r="216" spans="1:1">
      <c r="A216" s="163"/>
    </row>
    <row r="217" spans="1:1">
      <c r="A217" s="163"/>
    </row>
    <row r="218" spans="1:1">
      <c r="A218" s="163"/>
    </row>
    <row r="219" spans="1:1">
      <c r="A219" s="163"/>
    </row>
    <row r="220" spans="1:1">
      <c r="A220" s="163"/>
    </row>
    <row r="221" spans="1:1">
      <c r="A221" s="163"/>
    </row>
    <row r="222" spans="1:1">
      <c r="A222" s="163"/>
    </row>
    <row r="223" spans="1:1">
      <c r="A223" s="163"/>
    </row>
    <row r="224" spans="1:1">
      <c r="A224" s="163"/>
    </row>
    <row r="225" spans="1:1">
      <c r="A225" s="163"/>
    </row>
    <row r="226" spans="1:1">
      <c r="A226" s="163"/>
    </row>
    <row r="227" spans="1:1">
      <c r="A227" s="163"/>
    </row>
    <row r="228" spans="1:1">
      <c r="A228" s="163"/>
    </row>
    <row r="229" spans="1:1">
      <c r="A229" s="163"/>
    </row>
    <row r="230" spans="1:1">
      <c r="A230" s="163"/>
    </row>
    <row r="231" spans="1:1">
      <c r="A231" s="163"/>
    </row>
    <row r="232" spans="1:1">
      <c r="A232" s="163"/>
    </row>
    <row r="233" spans="1:1">
      <c r="A233" s="163"/>
    </row>
    <row r="234" spans="1:1">
      <c r="A234" s="163"/>
    </row>
    <row r="235" spans="1:1">
      <c r="A235" s="163"/>
    </row>
    <row r="236" spans="1:1">
      <c r="A236" s="163"/>
    </row>
    <row r="237" spans="1:1">
      <c r="A237" s="163"/>
    </row>
    <row r="238" spans="1:1">
      <c r="A238" s="163"/>
    </row>
    <row r="239" spans="1:1">
      <c r="A239" s="163"/>
    </row>
    <row r="240" spans="1:1">
      <c r="A240" s="163"/>
    </row>
    <row r="241" spans="1:1">
      <c r="A241" s="163"/>
    </row>
    <row r="242" spans="1:1">
      <c r="A242" s="163"/>
    </row>
    <row r="243" spans="1:1">
      <c r="A243" s="163"/>
    </row>
    <row r="244" spans="1:1">
      <c r="A244" s="163"/>
    </row>
    <row r="245" spans="1:1">
      <c r="A245" s="163"/>
    </row>
    <row r="246" spans="1:1">
      <c r="A246" s="163"/>
    </row>
    <row r="247" spans="1:1">
      <c r="A247" s="163"/>
    </row>
    <row r="248" spans="1:1">
      <c r="A248" s="163"/>
    </row>
    <row r="249" spans="1:1">
      <c r="A249" s="163"/>
    </row>
    <row r="250" spans="1:1">
      <c r="A250" s="163"/>
    </row>
    <row r="251" spans="1:1">
      <c r="A251" s="163"/>
    </row>
    <row r="252" spans="1:1">
      <c r="A252" s="163"/>
    </row>
    <row r="253" spans="1:1">
      <c r="A253" s="163"/>
    </row>
    <row r="254" spans="1:1">
      <c r="A254" s="163"/>
    </row>
    <row r="255" spans="1:1">
      <c r="A255" s="163"/>
    </row>
    <row r="256" spans="1:1">
      <c r="A256" s="163"/>
    </row>
    <row r="257" spans="1:1">
      <c r="A257" s="163"/>
    </row>
    <row r="258" spans="1:1">
      <c r="A258" s="163"/>
    </row>
    <row r="259" spans="1:1">
      <c r="A259" s="163"/>
    </row>
    <row r="260" spans="1:1">
      <c r="A260" s="163"/>
    </row>
    <row r="261" spans="1:1">
      <c r="A261" s="163"/>
    </row>
    <row r="262" spans="1:1">
      <c r="A262" s="163"/>
    </row>
    <row r="263" spans="1:1">
      <c r="A263" s="163"/>
    </row>
    <row r="264" spans="1:1">
      <c r="A264" s="163"/>
    </row>
    <row r="265" spans="1:1">
      <c r="A265" s="163"/>
    </row>
    <row r="266" spans="1:1">
      <c r="A266" s="163"/>
    </row>
    <row r="267" spans="1:1">
      <c r="A267" s="163"/>
    </row>
    <row r="268" spans="1:1">
      <c r="A268" s="163"/>
    </row>
    <row r="269" spans="1:1">
      <c r="A269" s="163"/>
    </row>
    <row r="270" spans="1:1">
      <c r="A270" s="163"/>
    </row>
    <row r="271" spans="1:1">
      <c r="A271" s="163"/>
    </row>
    <row r="272" spans="1:1">
      <c r="A272" s="163"/>
    </row>
    <row r="273" spans="1:1">
      <c r="A273" s="163"/>
    </row>
    <row r="274" spans="1:1">
      <c r="A274" s="163"/>
    </row>
    <row r="275" spans="1:1">
      <c r="A275" s="163"/>
    </row>
    <row r="276" spans="1:1">
      <c r="A276" s="163"/>
    </row>
    <row r="277" spans="1:1">
      <c r="A277" s="163"/>
    </row>
    <row r="278" spans="1:1">
      <c r="A278" s="163"/>
    </row>
    <row r="279" spans="1:1">
      <c r="A279" s="163"/>
    </row>
    <row r="280" spans="1:1">
      <c r="A280" s="163"/>
    </row>
    <row r="281" spans="1:1">
      <c r="A281" s="163"/>
    </row>
    <row r="282" spans="1:1">
      <c r="A282" s="163"/>
    </row>
    <row r="283" spans="1:1">
      <c r="A283" s="163"/>
    </row>
    <row r="284" spans="1:1">
      <c r="A284" s="163"/>
    </row>
    <row r="285" spans="1:1">
      <c r="A285" s="163"/>
    </row>
    <row r="286" spans="1:1">
      <c r="A286" s="163"/>
    </row>
    <row r="287" spans="1:1">
      <c r="A287" s="163"/>
    </row>
    <row r="288" spans="1:1">
      <c r="A288" s="163"/>
    </row>
    <row r="289" spans="1:1">
      <c r="A289" s="163"/>
    </row>
    <row r="290" spans="1:1">
      <c r="A290" s="163"/>
    </row>
    <row r="291" spans="1:1">
      <c r="A291" s="163"/>
    </row>
    <row r="292" spans="1:1">
      <c r="A292" s="163"/>
    </row>
    <row r="293" spans="1:1">
      <c r="A293" s="163"/>
    </row>
    <row r="294" spans="1:1">
      <c r="A294" s="163"/>
    </row>
    <row r="295" spans="1:1">
      <c r="A295" s="163"/>
    </row>
    <row r="296" spans="1:1">
      <c r="A296" s="163"/>
    </row>
    <row r="297" spans="1:1">
      <c r="A297" s="163"/>
    </row>
    <row r="298" spans="1:1">
      <c r="A298" s="163"/>
    </row>
    <row r="299" spans="1:1">
      <c r="A299" s="163"/>
    </row>
    <row r="300" spans="1:1">
      <c r="A300" s="163"/>
    </row>
    <row r="301" spans="1:1">
      <c r="A301" s="163"/>
    </row>
    <row r="302" spans="1:1">
      <c r="A302" s="163"/>
    </row>
    <row r="303" spans="1:1">
      <c r="A303" s="163"/>
    </row>
    <row r="304" spans="1:1">
      <c r="A304" s="163"/>
    </row>
    <row r="305" spans="1:1">
      <c r="A305" s="163"/>
    </row>
    <row r="306" spans="1:1">
      <c r="A306" s="163"/>
    </row>
    <row r="307" spans="1:1">
      <c r="A307" s="163"/>
    </row>
    <row r="308" spans="1:1">
      <c r="A308" s="163"/>
    </row>
    <row r="309" spans="1:1">
      <c r="A309" s="163"/>
    </row>
    <row r="310" spans="1:1">
      <c r="A310" s="163"/>
    </row>
    <row r="311" spans="1:1">
      <c r="A311" s="163"/>
    </row>
    <row r="312" spans="1:1">
      <c r="A312" s="163"/>
    </row>
    <row r="313" spans="1:1">
      <c r="A313" s="163"/>
    </row>
    <row r="314" spans="1:1">
      <c r="A314" s="163"/>
    </row>
    <row r="315" spans="1:1">
      <c r="A315" s="163"/>
    </row>
    <row r="316" spans="1:1">
      <c r="A316" s="163"/>
    </row>
    <row r="317" spans="1:1">
      <c r="A317" s="163"/>
    </row>
    <row r="318" spans="1:1">
      <c r="A318" s="163"/>
    </row>
    <row r="319" spans="1:1">
      <c r="A319" s="163"/>
    </row>
    <row r="320" spans="1:1">
      <c r="A320" s="163"/>
    </row>
    <row r="321" spans="1:1">
      <c r="A321" s="163"/>
    </row>
    <row r="322" spans="1:1">
      <c r="A322" s="163"/>
    </row>
    <row r="323" spans="1:1">
      <c r="A323" s="163"/>
    </row>
    <row r="324" spans="1:1">
      <c r="A324" s="163"/>
    </row>
    <row r="325" spans="1:1">
      <c r="A325" s="163"/>
    </row>
    <row r="326" spans="1:1">
      <c r="A326" s="163"/>
    </row>
    <row r="327" spans="1:1">
      <c r="A327" s="163"/>
    </row>
    <row r="328" spans="1:1">
      <c r="A328" s="163"/>
    </row>
    <row r="329" spans="1:1">
      <c r="A329" s="163"/>
    </row>
    <row r="330" spans="1:1">
      <c r="A330" s="163"/>
    </row>
    <row r="331" spans="1:1">
      <c r="A331" s="163"/>
    </row>
    <row r="332" spans="1:1">
      <c r="A332" s="163"/>
    </row>
    <row r="333" spans="1:1">
      <c r="A333" s="163"/>
    </row>
    <row r="334" spans="1:1">
      <c r="A334" s="163"/>
    </row>
    <row r="335" spans="1:1">
      <c r="A335" s="163"/>
    </row>
    <row r="336" spans="1:1">
      <c r="A336" s="163"/>
    </row>
    <row r="337" spans="1:1">
      <c r="A337" s="163"/>
    </row>
    <row r="338" spans="1:1">
      <c r="A338" s="163"/>
    </row>
    <row r="339" spans="1:1">
      <c r="A339" s="163"/>
    </row>
    <row r="340" spans="1:1">
      <c r="A340" s="163"/>
    </row>
    <row r="341" spans="1:1">
      <c r="A341" s="163"/>
    </row>
    <row r="342" spans="1:1">
      <c r="A342" s="163"/>
    </row>
    <row r="343" spans="1:1">
      <c r="A343" s="163"/>
    </row>
    <row r="344" spans="1:1">
      <c r="A344" s="163"/>
    </row>
    <row r="345" spans="1:1">
      <c r="A345" s="163"/>
    </row>
    <row r="346" spans="1:1">
      <c r="A346" s="163"/>
    </row>
    <row r="347" spans="1:1">
      <c r="A347" s="163"/>
    </row>
    <row r="348" spans="1:1">
      <c r="A348" s="163"/>
    </row>
    <row r="349" spans="1:1">
      <c r="A349" s="163"/>
    </row>
    <row r="350" spans="1:1">
      <c r="A350" s="163"/>
    </row>
    <row r="351" spans="1:1">
      <c r="A351" s="163"/>
    </row>
    <row r="352" spans="1:1">
      <c r="A352" s="163"/>
    </row>
    <row r="353" spans="1:1">
      <c r="A353" s="163"/>
    </row>
    <row r="354" spans="1:1">
      <c r="A354" s="163"/>
    </row>
    <row r="355" spans="1:1">
      <c r="A355" s="163"/>
    </row>
    <row r="356" spans="1:1">
      <c r="A356" s="163"/>
    </row>
    <row r="357" spans="1:1">
      <c r="A357" s="163"/>
    </row>
    <row r="358" spans="1:1">
      <c r="A358" s="163"/>
    </row>
    <row r="359" spans="1:1">
      <c r="A359" s="163"/>
    </row>
    <row r="360" spans="1:1">
      <c r="A360" s="163"/>
    </row>
    <row r="361" spans="1:1">
      <c r="A361" s="163"/>
    </row>
    <row r="362" spans="1:1">
      <c r="A362" s="163"/>
    </row>
    <row r="363" spans="1:1">
      <c r="A363" s="163"/>
    </row>
    <row r="364" spans="1:1">
      <c r="A364" s="163"/>
    </row>
    <row r="365" spans="1:1">
      <c r="A365" s="163"/>
    </row>
    <row r="366" spans="1:1">
      <c r="A366" s="163"/>
    </row>
    <row r="367" spans="1:1">
      <c r="A367" s="163"/>
    </row>
    <row r="368" spans="1:1">
      <c r="A368" s="163"/>
    </row>
    <row r="369" spans="1:1">
      <c r="A369" s="163"/>
    </row>
    <row r="370" spans="1:1">
      <c r="A370" s="163"/>
    </row>
    <row r="371" spans="1:1">
      <c r="A371" s="163"/>
    </row>
    <row r="372" spans="1:1">
      <c r="A372" s="163"/>
    </row>
    <row r="373" spans="1:1">
      <c r="A373" s="163"/>
    </row>
    <row r="374" spans="1:1">
      <c r="A374" s="163"/>
    </row>
    <row r="375" spans="1:1">
      <c r="A375" s="163"/>
    </row>
    <row r="376" spans="1:1">
      <c r="A376" s="163"/>
    </row>
    <row r="377" spans="1:1">
      <c r="A377" s="163"/>
    </row>
    <row r="378" spans="1:1">
      <c r="A378" s="163"/>
    </row>
    <row r="379" spans="1:1">
      <c r="A379" s="163"/>
    </row>
    <row r="380" spans="1:1">
      <c r="A380" s="163"/>
    </row>
    <row r="381" spans="1:1">
      <c r="A381" s="163"/>
    </row>
    <row r="382" spans="1:1">
      <c r="A382" s="163"/>
    </row>
    <row r="383" spans="1:1">
      <c r="A383" s="163"/>
    </row>
    <row r="384" spans="1:1">
      <c r="A384" s="163"/>
    </row>
    <row r="385" spans="1:1">
      <c r="A385" s="163"/>
    </row>
    <row r="386" spans="1:1">
      <c r="A386" s="163"/>
    </row>
    <row r="387" spans="1:1">
      <c r="A387" s="163"/>
    </row>
    <row r="388" spans="1:1">
      <c r="A388" s="163"/>
    </row>
    <row r="389" spans="1:1">
      <c r="A389" s="163"/>
    </row>
    <row r="390" spans="1:1">
      <c r="A390" s="163"/>
    </row>
    <row r="391" spans="1:1">
      <c r="A391" s="163"/>
    </row>
    <row r="392" spans="1:1">
      <c r="A392" s="163"/>
    </row>
    <row r="393" spans="1:1">
      <c r="A393" s="163"/>
    </row>
    <row r="394" spans="1:1">
      <c r="A394" s="163"/>
    </row>
    <row r="395" spans="1:1">
      <c r="A395" s="163"/>
    </row>
    <row r="396" spans="1:1">
      <c r="A396" s="163"/>
    </row>
    <row r="397" spans="1:1">
      <c r="A397" s="163"/>
    </row>
    <row r="398" spans="1:1">
      <c r="A398" s="163"/>
    </row>
    <row r="399" spans="1:1">
      <c r="A399" s="163"/>
    </row>
    <row r="400" spans="1:1">
      <c r="A400" s="163"/>
    </row>
    <row r="401" spans="1:1">
      <c r="A401" s="163"/>
    </row>
    <row r="402" spans="1:1">
      <c r="A402" s="163"/>
    </row>
    <row r="403" spans="1:1">
      <c r="A403" s="163"/>
    </row>
    <row r="404" spans="1:1">
      <c r="A404" s="163"/>
    </row>
    <row r="405" spans="1:1">
      <c r="A405" s="163"/>
    </row>
    <row r="406" spans="1:1">
      <c r="A406" s="163"/>
    </row>
    <row r="407" spans="1:1">
      <c r="A407" s="163"/>
    </row>
    <row r="408" spans="1:1">
      <c r="A408" s="163"/>
    </row>
    <row r="409" spans="1:1">
      <c r="A409" s="163"/>
    </row>
    <row r="410" spans="1:1">
      <c r="A410" s="163"/>
    </row>
    <row r="411" spans="1:1">
      <c r="A411" s="163"/>
    </row>
    <row r="412" spans="1:1">
      <c r="A412" s="163"/>
    </row>
    <row r="413" spans="1:1">
      <c r="A413" s="163"/>
    </row>
    <row r="414" spans="1:1">
      <c r="A414" s="163"/>
    </row>
    <row r="415" spans="1:1">
      <c r="A415" s="163"/>
    </row>
    <row r="416" spans="1:1">
      <c r="A416" s="163"/>
    </row>
    <row r="417" spans="1:1">
      <c r="A417" s="163"/>
    </row>
    <row r="418" spans="1:1">
      <c r="A418" s="163"/>
    </row>
    <row r="419" spans="1:1">
      <c r="A419" s="163"/>
    </row>
    <row r="420" spans="1:1">
      <c r="A420" s="163"/>
    </row>
    <row r="421" spans="1:1">
      <c r="A421" s="163"/>
    </row>
    <row r="422" spans="1:1">
      <c r="A422" s="163"/>
    </row>
    <row r="423" spans="1:1">
      <c r="A423" s="163"/>
    </row>
    <row r="424" spans="1:1">
      <c r="A424" s="163"/>
    </row>
    <row r="425" spans="1:1">
      <c r="A425" s="163"/>
    </row>
    <row r="426" spans="1:1">
      <c r="A426" s="163"/>
    </row>
    <row r="427" spans="1:1">
      <c r="A427" s="163"/>
    </row>
    <row r="428" spans="1:1">
      <c r="A428" s="163"/>
    </row>
    <row r="429" spans="1:1">
      <c r="A429" s="163"/>
    </row>
    <row r="430" spans="1:1">
      <c r="A430" s="163"/>
    </row>
    <row r="431" spans="1:1">
      <c r="A431" s="163"/>
    </row>
    <row r="432" spans="1:1">
      <c r="A432" s="163"/>
    </row>
    <row r="433" spans="1:1">
      <c r="A433" s="163"/>
    </row>
    <row r="434" spans="1:1">
      <c r="A434" s="163"/>
    </row>
    <row r="435" spans="1:1">
      <c r="A435" s="163"/>
    </row>
    <row r="436" spans="1:1">
      <c r="A436" s="163"/>
    </row>
    <row r="437" spans="1:1">
      <c r="A437" s="163"/>
    </row>
    <row r="438" spans="1:1">
      <c r="A438" s="163"/>
    </row>
    <row r="439" spans="1:1">
      <c r="A439" s="163"/>
    </row>
    <row r="440" spans="1:1">
      <c r="A440" s="163"/>
    </row>
    <row r="441" spans="1:1">
      <c r="A441" s="163"/>
    </row>
    <row r="442" spans="1:1">
      <c r="A442" s="163"/>
    </row>
    <row r="443" spans="1:1">
      <c r="A443" s="163"/>
    </row>
    <row r="444" spans="1:1">
      <c r="A444" s="163"/>
    </row>
    <row r="445" spans="1:1">
      <c r="A445" s="163"/>
    </row>
    <row r="446" spans="1:1">
      <c r="A446" s="163"/>
    </row>
    <row r="447" spans="1:1">
      <c r="A447" s="163"/>
    </row>
    <row r="448" spans="1:1">
      <c r="A448" s="163"/>
    </row>
    <row r="449" spans="1:1">
      <c r="A449" s="163"/>
    </row>
    <row r="450" spans="1:1">
      <c r="A450" s="163"/>
    </row>
    <row r="451" spans="1:1">
      <c r="A451" s="163"/>
    </row>
    <row r="452" spans="1:1">
      <c r="A452" s="163"/>
    </row>
    <row r="453" spans="1:1">
      <c r="A453" s="163"/>
    </row>
    <row r="454" spans="1:1">
      <c r="A454" s="163"/>
    </row>
    <row r="455" spans="1:1">
      <c r="A455" s="163"/>
    </row>
    <row r="456" spans="1:1">
      <c r="A456" s="163"/>
    </row>
    <row r="457" spans="1:1">
      <c r="A457" s="163"/>
    </row>
    <row r="458" spans="1:1">
      <c r="A458" s="163"/>
    </row>
    <row r="459" spans="1:1">
      <c r="A459" s="163"/>
    </row>
    <row r="460" spans="1:1">
      <c r="A460" s="163"/>
    </row>
    <row r="461" spans="1:1">
      <c r="A461" s="163"/>
    </row>
    <row r="462" spans="1:1">
      <c r="A462" s="163"/>
    </row>
    <row r="463" spans="1:1">
      <c r="A463" s="163"/>
    </row>
    <row r="464" spans="1:1">
      <c r="A464" s="163"/>
    </row>
    <row r="465" spans="1:1">
      <c r="A465" s="163"/>
    </row>
    <row r="466" spans="1:1">
      <c r="A466" s="163"/>
    </row>
    <row r="467" spans="1:1">
      <c r="A467" s="163"/>
    </row>
    <row r="468" spans="1:1">
      <c r="A468" s="163"/>
    </row>
    <row r="469" spans="1:1">
      <c r="A469" s="163"/>
    </row>
    <row r="470" spans="1:1">
      <c r="A470" s="163"/>
    </row>
    <row r="471" spans="1:1">
      <c r="A471" s="163"/>
    </row>
    <row r="472" spans="1:1">
      <c r="A472" s="163"/>
    </row>
    <row r="473" spans="1:1">
      <c r="A473" s="163"/>
    </row>
    <row r="474" spans="1:1">
      <c r="A474" s="163"/>
    </row>
    <row r="475" spans="1:1">
      <c r="A475" s="163"/>
    </row>
    <row r="476" spans="1:1">
      <c r="A476" s="163"/>
    </row>
    <row r="477" spans="1:1">
      <c r="A477" s="163"/>
    </row>
    <row r="478" spans="1:1">
      <c r="A478" s="163"/>
    </row>
    <row r="479" spans="1:1">
      <c r="A479" s="163"/>
    </row>
    <row r="480" spans="1:1">
      <c r="A480" s="163"/>
    </row>
    <row r="481" spans="1:1">
      <c r="A481" s="163"/>
    </row>
    <row r="482" spans="1:1">
      <c r="A482" s="163"/>
    </row>
    <row r="483" spans="1:1">
      <c r="A483" s="163"/>
    </row>
    <row r="484" spans="1:1">
      <c r="A484" s="163"/>
    </row>
    <row r="485" spans="1:1">
      <c r="A485" s="163"/>
    </row>
    <row r="486" spans="1:1">
      <c r="A486" s="163"/>
    </row>
    <row r="487" spans="1:1">
      <c r="A487" s="163"/>
    </row>
    <row r="488" spans="1:1">
      <c r="A488" s="163"/>
    </row>
    <row r="489" spans="1:1">
      <c r="A489" s="163"/>
    </row>
    <row r="490" spans="1:1">
      <c r="A490" s="163"/>
    </row>
    <row r="491" spans="1:1">
      <c r="A491" s="163"/>
    </row>
    <row r="492" spans="1:1">
      <c r="A492" s="163"/>
    </row>
    <row r="493" spans="1:1">
      <c r="A493" s="163"/>
    </row>
    <row r="494" spans="1:1">
      <c r="A494" s="163"/>
    </row>
    <row r="495" spans="1:1">
      <c r="A495" s="163"/>
    </row>
    <row r="496" spans="1:1">
      <c r="A496" s="163"/>
    </row>
    <row r="497" spans="1:1">
      <c r="A497" s="163"/>
    </row>
    <row r="498" spans="1:1">
      <c r="A498" s="163"/>
    </row>
    <row r="499" spans="1:1">
      <c r="A499" s="163"/>
    </row>
    <row r="500" spans="1:1">
      <c r="A500" s="163"/>
    </row>
    <row r="501" spans="1:1">
      <c r="A501" s="163"/>
    </row>
    <row r="502" spans="1:1">
      <c r="A502" s="163"/>
    </row>
    <row r="503" spans="1:1">
      <c r="A503" s="163"/>
    </row>
    <row r="504" spans="1:1">
      <c r="A504" s="163"/>
    </row>
    <row r="505" spans="1:1">
      <c r="A505" s="163"/>
    </row>
    <row r="506" spans="1:1">
      <c r="A506" s="163"/>
    </row>
    <row r="507" spans="1:1">
      <c r="A507" s="163"/>
    </row>
    <row r="508" spans="1:1">
      <c r="A508" s="163"/>
    </row>
    <row r="509" spans="1:1">
      <c r="A509" s="163"/>
    </row>
    <row r="510" spans="1:1">
      <c r="A510" s="163"/>
    </row>
    <row r="511" spans="1:1">
      <c r="A511" s="163"/>
    </row>
    <row r="512" spans="1:1">
      <c r="A512" s="163"/>
    </row>
    <row r="513" spans="1:1">
      <c r="A513" s="163"/>
    </row>
    <row r="514" spans="1:1">
      <c r="A514" s="163"/>
    </row>
    <row r="515" spans="1:1">
      <c r="A515" s="163"/>
    </row>
    <row r="516" spans="1:1">
      <c r="A516" s="163"/>
    </row>
    <row r="517" spans="1:1">
      <c r="A517" s="163"/>
    </row>
    <row r="518" spans="1:1">
      <c r="A518" s="163"/>
    </row>
    <row r="519" spans="1:1">
      <c r="A519" s="163"/>
    </row>
    <row r="520" spans="1:1">
      <c r="A520" s="163"/>
    </row>
    <row r="521" spans="1:1">
      <c r="A521" s="163"/>
    </row>
    <row r="522" spans="1:1">
      <c r="A522" s="163"/>
    </row>
    <row r="523" spans="1:1">
      <c r="A523" s="163"/>
    </row>
    <row r="524" spans="1:1">
      <c r="A524" s="163"/>
    </row>
    <row r="525" spans="1:1">
      <c r="A525" s="163"/>
    </row>
    <row r="526" spans="1:1">
      <c r="A526" s="163"/>
    </row>
    <row r="527" spans="1:1">
      <c r="A527" s="163"/>
    </row>
    <row r="528" spans="1:1">
      <c r="A528" s="163"/>
    </row>
    <row r="529" spans="1:1">
      <c r="A529" s="163"/>
    </row>
    <row r="530" spans="1:1">
      <c r="A530" s="163"/>
    </row>
    <row r="531" spans="1:1">
      <c r="A531" s="163"/>
    </row>
    <row r="532" spans="1:1">
      <c r="A532" s="163"/>
    </row>
    <row r="533" spans="1:1">
      <c r="A533" s="163"/>
    </row>
    <row r="534" spans="1:1">
      <c r="A534" s="163"/>
    </row>
    <row r="535" spans="1:1">
      <c r="A535" s="163"/>
    </row>
    <row r="536" spans="1:1">
      <c r="A536" s="163"/>
    </row>
    <row r="537" spans="1:1">
      <c r="A537" s="163"/>
    </row>
    <row r="538" spans="1:1">
      <c r="A538" s="163"/>
    </row>
    <row r="539" spans="1:1">
      <c r="A539" s="163"/>
    </row>
    <row r="540" spans="1:1">
      <c r="A540" s="163"/>
    </row>
    <row r="541" spans="1:1">
      <c r="A541" s="163"/>
    </row>
    <row r="542" spans="1:1">
      <c r="A542" s="163"/>
    </row>
    <row r="543" spans="1:1">
      <c r="A543" s="163"/>
    </row>
    <row r="544" spans="1:1">
      <c r="A544" s="163"/>
    </row>
    <row r="545" spans="1:1">
      <c r="A545" s="163"/>
    </row>
    <row r="546" spans="1:1">
      <c r="A546" s="163"/>
    </row>
    <row r="547" spans="1:1">
      <c r="A547" s="163"/>
    </row>
    <row r="548" spans="1:1">
      <c r="A548" s="163"/>
    </row>
    <row r="549" spans="1:1">
      <c r="A549" s="163"/>
    </row>
    <row r="550" spans="1:1">
      <c r="A550" s="163"/>
    </row>
    <row r="551" spans="1:1">
      <c r="A551" s="163"/>
    </row>
    <row r="552" spans="1:1">
      <c r="A552" s="163"/>
    </row>
    <row r="553" spans="1:1">
      <c r="A553" s="163"/>
    </row>
    <row r="554" spans="1:1">
      <c r="A554" s="58"/>
    </row>
    <row r="555" spans="1:1">
      <c r="A555" s="58"/>
    </row>
    <row r="556" spans="1:1">
      <c r="A556" s="58"/>
    </row>
    <row r="557" spans="1:1">
      <c r="A557" s="58"/>
    </row>
    <row r="558" spans="1:1">
      <c r="A558" s="58"/>
    </row>
    <row r="559" spans="1:1">
      <c r="A559" s="58"/>
    </row>
    <row r="560" spans="1:1">
      <c r="A560" s="58"/>
    </row>
    <row r="561" spans="1:1">
      <c r="A561" s="58"/>
    </row>
    <row r="562" spans="1:1">
      <c r="A562" s="58"/>
    </row>
    <row r="563" spans="1:1">
      <c r="A563" s="58"/>
    </row>
    <row r="564" spans="1:1">
      <c r="A564" s="58"/>
    </row>
    <row r="565" spans="1:1">
      <c r="A565" s="58"/>
    </row>
    <row r="566" spans="1:1">
      <c r="A566" s="58"/>
    </row>
    <row r="567" spans="1:1">
      <c r="A567" s="58"/>
    </row>
    <row r="568" spans="1:1">
      <c r="A568" s="58"/>
    </row>
    <row r="569" spans="1:1">
      <c r="A569" s="58"/>
    </row>
    <row r="570" spans="1:1">
      <c r="A570" s="58"/>
    </row>
    <row r="571" spans="1:1">
      <c r="A571" s="58"/>
    </row>
    <row r="572" spans="1:1">
      <c r="A572" s="58"/>
    </row>
    <row r="573" spans="1:1">
      <c r="A573" s="58"/>
    </row>
    <row r="574" spans="1:1">
      <c r="A574" s="58"/>
    </row>
    <row r="575" spans="1:1">
      <c r="A575" s="58"/>
    </row>
    <row r="576" spans="1:1">
      <c r="A576" s="58"/>
    </row>
    <row r="577" spans="1:1">
      <c r="A577" s="58"/>
    </row>
    <row r="578" spans="1:1">
      <c r="A578" s="58"/>
    </row>
    <row r="579" spans="1:1">
      <c r="A579" s="58"/>
    </row>
    <row r="580" spans="1:1">
      <c r="A580" s="58"/>
    </row>
    <row r="581" spans="1:1">
      <c r="A581" s="58"/>
    </row>
    <row r="582" spans="1:1">
      <c r="A582" s="58"/>
    </row>
    <row r="583" spans="1:1">
      <c r="A583" s="58"/>
    </row>
    <row r="584" spans="1:1">
      <c r="A584" s="58"/>
    </row>
    <row r="585" spans="1:1">
      <c r="A585" s="58"/>
    </row>
    <row r="586" spans="1:1">
      <c r="A586" s="58"/>
    </row>
    <row r="587" spans="1:1">
      <c r="A587" s="58"/>
    </row>
    <row r="588" spans="1:1">
      <c r="A588" s="58"/>
    </row>
    <row r="589" spans="1:1">
      <c r="A589" s="58"/>
    </row>
    <row r="590" spans="1:1">
      <c r="A590" s="58"/>
    </row>
    <row r="591" spans="1:1">
      <c r="A591" s="58"/>
    </row>
    <row r="592" spans="1:1">
      <c r="A592" s="58"/>
    </row>
    <row r="593" spans="1:1">
      <c r="A593" s="58"/>
    </row>
    <row r="594" spans="1:1">
      <c r="A594" s="58"/>
    </row>
    <row r="595" spans="1:1">
      <c r="A595" s="58"/>
    </row>
    <row r="596" spans="1:1">
      <c r="A596" s="58"/>
    </row>
    <row r="597" spans="1:1">
      <c r="A597" s="58"/>
    </row>
    <row r="598" spans="1:1">
      <c r="A598" s="58"/>
    </row>
    <row r="599" spans="1:1">
      <c r="A599" s="58"/>
    </row>
    <row r="600" spans="1:1">
      <c r="A600" s="58"/>
    </row>
    <row r="601" spans="1:1">
      <c r="A601" s="58"/>
    </row>
    <row r="602" spans="1:1">
      <c r="A602" s="58"/>
    </row>
    <row r="603" spans="1:1">
      <c r="A603" s="58"/>
    </row>
    <row r="604" spans="1:1">
      <c r="A604" s="58"/>
    </row>
    <row r="605" spans="1:1">
      <c r="A605" s="58"/>
    </row>
    <row r="606" spans="1:1">
      <c r="A606" s="58"/>
    </row>
    <row r="607" spans="1:1">
      <c r="A607" s="58"/>
    </row>
    <row r="608" spans="1:1">
      <c r="A608" s="58"/>
    </row>
    <row r="609" spans="1:1">
      <c r="A609" s="58"/>
    </row>
    <row r="610" spans="1:1">
      <c r="A610" s="58"/>
    </row>
    <row r="611" spans="1:1">
      <c r="A611" s="58"/>
    </row>
    <row r="612" spans="1:1">
      <c r="A612" s="58"/>
    </row>
    <row r="613" spans="1:1">
      <c r="A613" s="58"/>
    </row>
    <row r="614" spans="1:1">
      <c r="A614" s="58"/>
    </row>
    <row r="615" spans="1:1">
      <c r="A615" s="58"/>
    </row>
    <row r="616" spans="1:1">
      <c r="A616" s="58"/>
    </row>
    <row r="617" spans="1:1">
      <c r="A617" s="58"/>
    </row>
    <row r="618" spans="1:1">
      <c r="A618" s="58"/>
    </row>
    <row r="619" spans="1:1">
      <c r="A619" s="58"/>
    </row>
    <row r="620" spans="1:1">
      <c r="A620" s="58"/>
    </row>
    <row r="621" spans="1:1">
      <c r="A621" s="58"/>
    </row>
    <row r="622" spans="1:1">
      <c r="A622" s="58"/>
    </row>
    <row r="623" spans="1:1">
      <c r="A623" s="58"/>
    </row>
    <row r="624" spans="1:1">
      <c r="A624" s="58"/>
    </row>
    <row r="625" spans="1:1">
      <c r="A625" s="58"/>
    </row>
    <row r="626" spans="1:1">
      <c r="A626" s="58"/>
    </row>
    <row r="627" spans="1:1">
      <c r="A627" s="58"/>
    </row>
    <row r="628" spans="1:1">
      <c r="A628" s="58"/>
    </row>
    <row r="629" spans="1:1">
      <c r="A629" s="58"/>
    </row>
    <row r="630" spans="1:1">
      <c r="A630" s="58"/>
    </row>
    <row r="631" spans="1:1">
      <c r="A631" s="58"/>
    </row>
    <row r="632" spans="1:1">
      <c r="A632" s="58"/>
    </row>
    <row r="633" spans="1:1">
      <c r="A633" s="58"/>
    </row>
    <row r="634" spans="1:1">
      <c r="A634" s="58"/>
    </row>
    <row r="635" spans="1:1">
      <c r="A635" s="58"/>
    </row>
    <row r="636" spans="1:1">
      <c r="A636" s="58"/>
    </row>
    <row r="637" spans="1:1">
      <c r="A637" s="58"/>
    </row>
    <row r="638" spans="1:1">
      <c r="A638" s="58"/>
    </row>
    <row r="639" spans="1:1">
      <c r="A639" s="58"/>
    </row>
    <row r="640" spans="1:1">
      <c r="A640" s="58"/>
    </row>
    <row r="641" spans="1:1">
      <c r="A641" s="58"/>
    </row>
    <row r="642" spans="1:1">
      <c r="A642" s="58"/>
    </row>
    <row r="643" spans="1:1">
      <c r="A643" s="58"/>
    </row>
    <row r="644" spans="1:1">
      <c r="A644" s="58"/>
    </row>
    <row r="645" spans="1:1">
      <c r="A645" s="58"/>
    </row>
    <row r="646" spans="1:1">
      <c r="A646" s="58"/>
    </row>
    <row r="647" spans="1:1">
      <c r="A647" s="58"/>
    </row>
    <row r="648" spans="1:1">
      <c r="A648" s="58"/>
    </row>
    <row r="649" spans="1:1">
      <c r="A649" s="58"/>
    </row>
    <row r="650" spans="1:1">
      <c r="A650" s="58"/>
    </row>
    <row r="651" spans="1:1">
      <c r="A651" s="58"/>
    </row>
    <row r="652" spans="1:1">
      <c r="A652" s="58"/>
    </row>
    <row r="653" spans="1:1">
      <c r="A653" s="58"/>
    </row>
    <row r="654" spans="1:1">
      <c r="A654" s="58"/>
    </row>
    <row r="655" spans="1:1">
      <c r="A655" s="58"/>
    </row>
    <row r="656" spans="1:1">
      <c r="A656" s="58"/>
    </row>
    <row r="657" spans="1:1">
      <c r="A657" s="58"/>
    </row>
    <row r="658" spans="1:1">
      <c r="A658" s="58"/>
    </row>
    <row r="659" spans="1:1">
      <c r="A659" s="58"/>
    </row>
    <row r="660" spans="1:1">
      <c r="A660" s="58"/>
    </row>
    <row r="661" spans="1:1">
      <c r="A661" s="58"/>
    </row>
    <row r="662" spans="1:1">
      <c r="A662" s="58"/>
    </row>
    <row r="663" spans="1:1">
      <c r="A663" s="58"/>
    </row>
    <row r="664" spans="1:1">
      <c r="A664" s="58"/>
    </row>
    <row r="665" spans="1:1">
      <c r="A665" s="58"/>
    </row>
    <row r="666" spans="1:1">
      <c r="A666" s="58"/>
    </row>
    <row r="667" spans="1:1">
      <c r="A667" s="58"/>
    </row>
    <row r="668" spans="1:1">
      <c r="A668" s="58"/>
    </row>
    <row r="669" spans="1:1">
      <c r="A669" s="58"/>
    </row>
    <row r="670" spans="1:1">
      <c r="A670" s="58"/>
    </row>
    <row r="671" spans="1:1">
      <c r="A671" s="58"/>
    </row>
    <row r="672" spans="1:1">
      <c r="A672" s="58"/>
    </row>
    <row r="673" spans="1:1">
      <c r="A673" s="58"/>
    </row>
    <row r="674" spans="1:1">
      <c r="A674" s="58"/>
    </row>
    <row r="675" spans="1:1">
      <c r="A675" s="58"/>
    </row>
    <row r="676" spans="1:1">
      <c r="A676" s="58"/>
    </row>
    <row r="677" spans="1:1">
      <c r="A677" s="58"/>
    </row>
    <row r="678" spans="1:1">
      <c r="A678" s="58"/>
    </row>
    <row r="679" spans="1:1">
      <c r="A679" s="58"/>
    </row>
    <row r="680" spans="1:1">
      <c r="A680" s="58"/>
    </row>
    <row r="681" spans="1:1">
      <c r="A681" s="58"/>
    </row>
    <row r="682" spans="1:1">
      <c r="A682" s="58"/>
    </row>
    <row r="683" spans="1:1">
      <c r="A683" s="58"/>
    </row>
    <row r="684" spans="1:1">
      <c r="A684" s="58"/>
    </row>
    <row r="685" spans="1:1">
      <c r="A685" s="58"/>
    </row>
    <row r="686" spans="1:1">
      <c r="A686" s="58"/>
    </row>
    <row r="687" spans="1:1">
      <c r="A687" s="58"/>
    </row>
    <row r="688" spans="1:1">
      <c r="A688" s="58"/>
    </row>
    <row r="689" spans="1:1">
      <c r="A689" s="58"/>
    </row>
    <row r="690" spans="1:1">
      <c r="A690" s="58"/>
    </row>
    <row r="691" spans="1:1">
      <c r="A691" s="58"/>
    </row>
    <row r="692" spans="1:1">
      <c r="A692" s="58"/>
    </row>
    <row r="693" spans="1:1">
      <c r="A693" s="58"/>
    </row>
    <row r="694" spans="1:1">
      <c r="A694" s="58"/>
    </row>
    <row r="695" spans="1:1">
      <c r="A695" s="58"/>
    </row>
    <row r="696" spans="1:1">
      <c r="A696" s="58"/>
    </row>
    <row r="697" spans="1:1">
      <c r="A697" s="58"/>
    </row>
    <row r="698" spans="1:1">
      <c r="A698" s="58"/>
    </row>
    <row r="699" spans="1:1">
      <c r="A699" s="58"/>
    </row>
    <row r="700" spans="1:1">
      <c r="A700" s="58"/>
    </row>
    <row r="701" spans="1:1">
      <c r="A701" s="58"/>
    </row>
    <row r="702" spans="1:1">
      <c r="A702" s="58"/>
    </row>
    <row r="703" spans="1:1">
      <c r="A703" s="58"/>
    </row>
    <row r="704" spans="1:1">
      <c r="A704" s="58"/>
    </row>
    <row r="705" spans="1:1">
      <c r="A705" s="58"/>
    </row>
    <row r="706" spans="1:1">
      <c r="A706" s="58"/>
    </row>
    <row r="707" spans="1:1">
      <c r="A707" s="58"/>
    </row>
    <row r="708" spans="1:1">
      <c r="A708" s="58"/>
    </row>
    <row r="709" spans="1:1">
      <c r="A709" s="58"/>
    </row>
    <row r="710" spans="1:1">
      <c r="A710" s="58"/>
    </row>
    <row r="711" spans="1:1">
      <c r="A711" s="58"/>
    </row>
    <row r="712" spans="1:1">
      <c r="A712" s="58"/>
    </row>
    <row r="713" spans="1:1">
      <c r="A713" s="58"/>
    </row>
    <row r="714" spans="1:1">
      <c r="A714" s="58"/>
    </row>
    <row r="715" spans="1:1">
      <c r="A715" s="58"/>
    </row>
    <row r="716" spans="1:1">
      <c r="A716" s="58"/>
    </row>
    <row r="717" spans="1:1">
      <c r="A717" s="58"/>
    </row>
    <row r="718" spans="1:1">
      <c r="A718" s="58"/>
    </row>
    <row r="719" spans="1:1">
      <c r="A719" s="58"/>
    </row>
    <row r="720" spans="1:1">
      <c r="A720" s="58"/>
    </row>
    <row r="721" spans="1:1">
      <c r="A721" s="58"/>
    </row>
    <row r="722" spans="1:1">
      <c r="A722" s="58"/>
    </row>
    <row r="723" spans="1:1">
      <c r="A723" s="58"/>
    </row>
    <row r="724" spans="1:1">
      <c r="A724" s="58"/>
    </row>
    <row r="725" spans="1:1">
      <c r="A725" s="58"/>
    </row>
    <row r="726" spans="1:1">
      <c r="A726" s="58"/>
    </row>
    <row r="727" spans="1:1">
      <c r="A727" s="58"/>
    </row>
    <row r="728" spans="1:1">
      <c r="A728" s="58"/>
    </row>
    <row r="729" spans="1:1">
      <c r="A729" s="58"/>
    </row>
    <row r="730" spans="1:1">
      <c r="A730" s="58"/>
    </row>
    <row r="731" spans="1:1">
      <c r="A731" s="58"/>
    </row>
    <row r="732" spans="1:1">
      <c r="A732" s="58"/>
    </row>
    <row r="733" spans="1:1">
      <c r="A733" s="58"/>
    </row>
    <row r="734" spans="1:1">
      <c r="A734" s="58"/>
    </row>
    <row r="735" spans="1:1">
      <c r="A735" s="58"/>
    </row>
    <row r="736" spans="1:1">
      <c r="A736" s="58"/>
    </row>
    <row r="737" spans="1:1">
      <c r="A737" s="58"/>
    </row>
    <row r="738" spans="1:1">
      <c r="A738" s="58"/>
    </row>
    <row r="739" spans="1:1">
      <c r="A739" s="58"/>
    </row>
    <row r="740" spans="1:1">
      <c r="A740" s="58"/>
    </row>
    <row r="741" spans="1:1">
      <c r="A741" s="58"/>
    </row>
    <row r="742" spans="1:1">
      <c r="A742" s="58"/>
    </row>
    <row r="743" spans="1:1">
      <c r="A743" s="58"/>
    </row>
    <row r="744" spans="1:1">
      <c r="A744" s="58"/>
    </row>
    <row r="745" spans="1:1">
      <c r="A745" s="58"/>
    </row>
    <row r="746" spans="1:1">
      <c r="A746" s="58"/>
    </row>
    <row r="747" spans="1:1">
      <c r="A747" s="58"/>
    </row>
    <row r="748" spans="1:1">
      <c r="A748" s="58"/>
    </row>
    <row r="749" spans="1:1">
      <c r="A749" s="58"/>
    </row>
    <row r="750" spans="1:1">
      <c r="A750" s="58"/>
    </row>
    <row r="751" spans="1:1">
      <c r="A751" s="58"/>
    </row>
    <row r="752" spans="1:1">
      <c r="A752" s="58"/>
    </row>
    <row r="753" spans="1:1">
      <c r="A753" s="58"/>
    </row>
    <row r="754" spans="1:1">
      <c r="A754" s="58"/>
    </row>
    <row r="755" spans="1:1">
      <c r="A755" s="58"/>
    </row>
    <row r="756" spans="1:1">
      <c r="A756" s="58"/>
    </row>
    <row r="757" spans="1:1">
      <c r="A757" s="58"/>
    </row>
    <row r="758" spans="1:1">
      <c r="A758" s="58"/>
    </row>
    <row r="759" spans="1:1">
      <c r="A759" s="58"/>
    </row>
    <row r="760" spans="1:1">
      <c r="A760" s="58"/>
    </row>
    <row r="761" spans="1:1">
      <c r="A761" s="58"/>
    </row>
    <row r="762" spans="1:1">
      <c r="A762" s="58"/>
    </row>
    <row r="763" spans="1:1">
      <c r="A763" s="58"/>
    </row>
    <row r="764" spans="1:1">
      <c r="A764" s="58"/>
    </row>
    <row r="765" spans="1:1">
      <c r="A765" s="58"/>
    </row>
    <row r="766" spans="1:1">
      <c r="A766" s="58"/>
    </row>
    <row r="767" spans="1:1">
      <c r="A767" s="58"/>
    </row>
    <row r="768" spans="1:1">
      <c r="A768" s="58"/>
    </row>
    <row r="769" spans="1:1">
      <c r="A769" s="58"/>
    </row>
    <row r="770" spans="1:1">
      <c r="A770" s="58"/>
    </row>
    <row r="771" spans="1:1">
      <c r="A771" s="58"/>
    </row>
    <row r="772" spans="1:1">
      <c r="A772" s="58"/>
    </row>
    <row r="773" spans="1:1">
      <c r="A773" s="58"/>
    </row>
    <row r="774" spans="1:1">
      <c r="A774" s="58"/>
    </row>
    <row r="775" spans="1:1">
      <c r="A775" s="58"/>
    </row>
    <row r="776" spans="1:1">
      <c r="A776" s="58"/>
    </row>
    <row r="777" spans="1:1">
      <c r="A777" s="58"/>
    </row>
    <row r="778" spans="1:1">
      <c r="A778" s="58"/>
    </row>
    <row r="779" spans="1:1">
      <c r="A779" s="58"/>
    </row>
    <row r="780" spans="1:1">
      <c r="A780" s="58"/>
    </row>
    <row r="781" spans="1:1">
      <c r="A781" s="58"/>
    </row>
    <row r="782" spans="1:1">
      <c r="A782" s="58"/>
    </row>
    <row r="783" spans="1:1">
      <c r="A783" s="58"/>
    </row>
    <row r="784" spans="1:1">
      <c r="A784" s="58"/>
    </row>
    <row r="785" spans="1:1">
      <c r="A785" s="58"/>
    </row>
    <row r="786" spans="1:1">
      <c r="A786" s="58"/>
    </row>
    <row r="787" spans="1:1">
      <c r="A787" s="58"/>
    </row>
    <row r="788" spans="1:1">
      <c r="A788" s="58"/>
    </row>
    <row r="789" spans="1:1">
      <c r="A789" s="58"/>
    </row>
    <row r="790" spans="1:1">
      <c r="A790" s="58"/>
    </row>
    <row r="791" spans="1:1">
      <c r="A791" s="58"/>
    </row>
    <row r="792" spans="1:1">
      <c r="A792" s="58"/>
    </row>
    <row r="793" spans="1:1">
      <c r="A793" s="58"/>
    </row>
    <row r="794" spans="1:1">
      <c r="A794" s="58"/>
    </row>
    <row r="795" spans="1:1">
      <c r="A795" s="58"/>
    </row>
    <row r="796" spans="1:1">
      <c r="A796" s="58"/>
    </row>
    <row r="797" spans="1:1">
      <c r="A797" s="58"/>
    </row>
    <row r="798" spans="1:1">
      <c r="A798" s="58"/>
    </row>
    <row r="799" spans="1:1">
      <c r="A799" s="58"/>
    </row>
    <row r="800" spans="1:1">
      <c r="A800" s="58"/>
    </row>
    <row r="801" spans="1:1">
      <c r="A801" s="58"/>
    </row>
    <row r="802" spans="1:1">
      <c r="A802" s="58"/>
    </row>
    <row r="803" spans="1:1">
      <c r="A803" s="58"/>
    </row>
    <row r="804" spans="1:1">
      <c r="A804" s="58"/>
    </row>
    <row r="805" spans="1:1">
      <c r="A805" s="58"/>
    </row>
    <row r="806" spans="1:1">
      <c r="A806" s="58"/>
    </row>
    <row r="807" spans="1:1">
      <c r="A807" s="58"/>
    </row>
    <row r="808" spans="1:1">
      <c r="A808" s="58"/>
    </row>
    <row r="809" spans="1:1">
      <c r="A809" s="58"/>
    </row>
    <row r="810" spans="1:1">
      <c r="A810" s="58"/>
    </row>
    <row r="811" spans="1:1">
      <c r="A811" s="58"/>
    </row>
    <row r="812" spans="1:1">
      <c r="A812" s="58"/>
    </row>
    <row r="813" spans="1:1">
      <c r="A813" s="58"/>
    </row>
    <row r="814" spans="1:1">
      <c r="A814" s="58"/>
    </row>
    <row r="815" spans="1:1">
      <c r="A815" s="58"/>
    </row>
    <row r="816" spans="1:1">
      <c r="A816" s="58"/>
    </row>
    <row r="817" spans="1:1">
      <c r="A817" s="58"/>
    </row>
    <row r="818" spans="1:1">
      <c r="A818" s="58"/>
    </row>
    <row r="819" spans="1:1">
      <c r="A819" s="58"/>
    </row>
    <row r="820" spans="1:1">
      <c r="A820" s="58"/>
    </row>
    <row r="821" spans="1:1">
      <c r="A821" s="58"/>
    </row>
    <row r="822" spans="1:1">
      <c r="A822" s="58"/>
    </row>
    <row r="823" spans="1:1">
      <c r="A823" s="58"/>
    </row>
    <row r="824" spans="1:1">
      <c r="A824" s="58"/>
    </row>
    <row r="825" spans="1:1">
      <c r="A825" s="58"/>
    </row>
    <row r="826" spans="1:1">
      <c r="A826" s="58"/>
    </row>
    <row r="827" spans="1:1">
      <c r="A827" s="58"/>
    </row>
    <row r="828" spans="1:1">
      <c r="A828" s="58"/>
    </row>
    <row r="829" spans="1:1">
      <c r="A829" s="58"/>
    </row>
    <row r="830" spans="1:1">
      <c r="A830" s="58"/>
    </row>
    <row r="831" spans="1:1">
      <c r="A831" s="58"/>
    </row>
    <row r="832" spans="1:1">
      <c r="A832" s="58"/>
    </row>
    <row r="833" spans="1:1">
      <c r="A833" s="58"/>
    </row>
    <row r="834" spans="1:1">
      <c r="A834" s="58"/>
    </row>
    <row r="835" spans="1:1">
      <c r="A835" s="58"/>
    </row>
    <row r="836" spans="1:1">
      <c r="A836" s="58"/>
    </row>
    <row r="837" spans="1:1">
      <c r="A837" s="58"/>
    </row>
    <row r="838" spans="1:1">
      <c r="A838" s="58"/>
    </row>
    <row r="839" spans="1:1">
      <c r="A839" s="58"/>
    </row>
    <row r="840" spans="1:1">
      <c r="A840" s="58"/>
    </row>
    <row r="841" spans="1:1">
      <c r="A841" s="58"/>
    </row>
    <row r="842" spans="1:1">
      <c r="A842" s="58"/>
    </row>
    <row r="843" spans="1:1">
      <c r="A843" s="58"/>
    </row>
    <row r="844" spans="1:1">
      <c r="A844" s="58"/>
    </row>
    <row r="845" spans="1:1">
      <c r="A845" s="58"/>
    </row>
    <row r="846" spans="1:1">
      <c r="A846" s="58"/>
    </row>
    <row r="847" spans="1:1">
      <c r="A847" s="58"/>
    </row>
    <row r="848" spans="1:1">
      <c r="A848" s="58"/>
    </row>
    <row r="849" spans="1:1">
      <c r="A849" s="58"/>
    </row>
    <row r="850" spans="1:1">
      <c r="A850" s="58"/>
    </row>
    <row r="851" spans="1:1">
      <c r="A851" s="58"/>
    </row>
    <row r="852" spans="1:1">
      <c r="A852" s="58"/>
    </row>
    <row r="853" spans="1:1">
      <c r="A853" s="58"/>
    </row>
    <row r="854" spans="1:1">
      <c r="A854" s="58"/>
    </row>
    <row r="855" spans="1:1">
      <c r="A855" s="58"/>
    </row>
    <row r="856" spans="1:1">
      <c r="A856" s="58"/>
    </row>
    <row r="857" spans="1:1">
      <c r="A857" s="58"/>
    </row>
    <row r="858" spans="1:1">
      <c r="A858" s="58"/>
    </row>
    <row r="859" spans="1:1">
      <c r="A859" s="58"/>
    </row>
    <row r="860" spans="1:1">
      <c r="A860" s="58"/>
    </row>
    <row r="861" spans="1:1">
      <c r="A861" s="58"/>
    </row>
    <row r="862" spans="1:1">
      <c r="A862" s="58"/>
    </row>
    <row r="863" spans="1:1">
      <c r="A863" s="58"/>
    </row>
    <row r="864" spans="1:1">
      <c r="A864" s="58"/>
    </row>
    <row r="865" spans="1:1">
      <c r="A865" s="58"/>
    </row>
    <row r="866" spans="1:1">
      <c r="A866" s="58"/>
    </row>
    <row r="867" spans="1:1">
      <c r="A867" s="58"/>
    </row>
    <row r="868" spans="1:1">
      <c r="A868" s="58"/>
    </row>
    <row r="869" spans="1:1">
      <c r="A869" s="58"/>
    </row>
    <row r="870" spans="1:1">
      <c r="A870" s="58"/>
    </row>
    <row r="871" spans="1:1">
      <c r="A871" s="58"/>
    </row>
    <row r="872" spans="1:1">
      <c r="A872" s="58"/>
    </row>
    <row r="873" spans="1:1">
      <c r="A873" s="58"/>
    </row>
    <row r="874" spans="1:1">
      <c r="A874" s="58"/>
    </row>
    <row r="875" spans="1:1">
      <c r="A875" s="58"/>
    </row>
    <row r="876" spans="1:1">
      <c r="A876" s="58"/>
    </row>
    <row r="877" spans="1:1">
      <c r="A877" s="58"/>
    </row>
    <row r="878" spans="1:1">
      <c r="A878" s="58"/>
    </row>
    <row r="879" spans="1:1">
      <c r="A879" s="58"/>
    </row>
    <row r="880" spans="1:1">
      <c r="A880" s="58"/>
    </row>
    <row r="881" spans="1:1">
      <c r="A881" s="58"/>
    </row>
    <row r="882" spans="1:1">
      <c r="A882" s="58"/>
    </row>
    <row r="883" spans="1:1">
      <c r="A883" s="58"/>
    </row>
    <row r="884" spans="1:1">
      <c r="A884" s="58"/>
    </row>
    <row r="885" spans="1:1">
      <c r="A885" s="58"/>
    </row>
    <row r="886" spans="1:1">
      <c r="A886" s="58"/>
    </row>
    <row r="887" spans="1:1">
      <c r="A887" s="58"/>
    </row>
    <row r="888" spans="1:1">
      <c r="A888" s="58"/>
    </row>
    <row r="889" spans="1:1">
      <c r="A889" s="58"/>
    </row>
    <row r="890" spans="1:1">
      <c r="A890" s="58"/>
    </row>
    <row r="891" spans="1:1">
      <c r="A891" s="58"/>
    </row>
    <row r="892" spans="1:1">
      <c r="A892" s="58"/>
    </row>
    <row r="893" spans="1:1">
      <c r="A893" s="58"/>
    </row>
    <row r="894" spans="1:1">
      <c r="A894" s="58"/>
    </row>
    <row r="895" spans="1:1">
      <c r="A895" s="58"/>
    </row>
    <row r="896" spans="1:1">
      <c r="A896" s="58"/>
    </row>
    <row r="897" spans="1:1">
      <c r="A897" s="58"/>
    </row>
    <row r="898" spans="1:1">
      <c r="A898" s="58"/>
    </row>
    <row r="899" spans="1:1">
      <c r="A899" s="58"/>
    </row>
    <row r="900" spans="1:1">
      <c r="A900" s="58"/>
    </row>
    <row r="901" spans="1:1">
      <c r="A901" s="58"/>
    </row>
    <row r="902" spans="1:1">
      <c r="A902" s="58"/>
    </row>
    <row r="903" spans="1:1">
      <c r="A903" s="58"/>
    </row>
    <row r="904" spans="1:1">
      <c r="A904" s="58"/>
    </row>
    <row r="905" spans="1:1">
      <c r="A905" s="58"/>
    </row>
    <row r="906" spans="1:1">
      <c r="A906" s="58"/>
    </row>
    <row r="907" spans="1:1">
      <c r="A907" s="58"/>
    </row>
    <row r="908" spans="1:1">
      <c r="A908" s="58"/>
    </row>
    <row r="909" spans="1:1">
      <c r="A909" s="58"/>
    </row>
    <row r="910" spans="1:1">
      <c r="A910" s="58"/>
    </row>
    <row r="911" spans="1:1">
      <c r="A911" s="58"/>
    </row>
    <row r="912" spans="1:1">
      <c r="A912" s="58"/>
    </row>
    <row r="913" spans="1:1">
      <c r="A913" s="58"/>
    </row>
    <row r="914" spans="1:1">
      <c r="A914" s="58"/>
    </row>
    <row r="915" spans="1:1">
      <c r="A915" s="58"/>
    </row>
    <row r="916" spans="1:1">
      <c r="A916" s="58"/>
    </row>
    <row r="917" spans="1:1">
      <c r="A917" s="58"/>
    </row>
    <row r="918" spans="1:1">
      <c r="A918" s="58"/>
    </row>
    <row r="919" spans="1:1">
      <c r="A919" s="58"/>
    </row>
    <row r="920" spans="1:1">
      <c r="A920" s="58"/>
    </row>
    <row r="921" spans="1:1">
      <c r="A921" s="58"/>
    </row>
    <row r="922" spans="1:1">
      <c r="A922" s="58"/>
    </row>
    <row r="923" spans="1:1">
      <c r="A923" s="58"/>
    </row>
    <row r="924" spans="1:1">
      <c r="A924" s="58"/>
    </row>
    <row r="925" spans="1:1">
      <c r="A925" s="58"/>
    </row>
    <row r="926" spans="1:1">
      <c r="A926" s="58"/>
    </row>
    <row r="927" spans="1:1">
      <c r="A927" s="58"/>
    </row>
    <row r="928" spans="1:1">
      <c r="A928" s="58"/>
    </row>
    <row r="929" spans="1:1">
      <c r="A929" s="58"/>
    </row>
    <row r="930" spans="1:1">
      <c r="A930" s="58"/>
    </row>
    <row r="931" spans="1:1">
      <c r="A931" s="58"/>
    </row>
    <row r="932" spans="1:1">
      <c r="A932" s="58"/>
    </row>
    <row r="933" spans="1:1">
      <c r="A933" s="58"/>
    </row>
    <row r="934" spans="1:1">
      <c r="A934" s="58"/>
    </row>
    <row r="935" spans="1:1">
      <c r="A935" s="58"/>
    </row>
    <row r="936" spans="1:1">
      <c r="A936" s="58"/>
    </row>
    <row r="937" spans="1:1">
      <c r="A937" s="58"/>
    </row>
    <row r="938" spans="1:1">
      <c r="A938" s="58"/>
    </row>
    <row r="939" spans="1:1">
      <c r="A939" s="58"/>
    </row>
    <row r="940" spans="1:1">
      <c r="A940" s="58"/>
    </row>
    <row r="941" spans="1:1">
      <c r="A941" s="58"/>
    </row>
    <row r="942" spans="1:1">
      <c r="A942" s="58"/>
    </row>
    <row r="943" spans="1:1">
      <c r="A943" s="58"/>
    </row>
    <row r="944" spans="1:1">
      <c r="A944" s="58"/>
    </row>
    <row r="945" spans="1:1">
      <c r="A945" s="58"/>
    </row>
    <row r="946" spans="1:1">
      <c r="A946" s="58"/>
    </row>
    <row r="947" spans="1:1">
      <c r="A947" s="58"/>
    </row>
    <row r="948" spans="1:1">
      <c r="A948" s="58"/>
    </row>
    <row r="949" spans="1:1">
      <c r="A949" s="58"/>
    </row>
    <row r="950" spans="1:1">
      <c r="A950" s="58"/>
    </row>
    <row r="951" spans="1:1">
      <c r="A951" s="58"/>
    </row>
    <row r="952" spans="1:1">
      <c r="A952" s="58"/>
    </row>
    <row r="953" spans="1:1">
      <c r="A953" s="58"/>
    </row>
    <row r="954" spans="1:1">
      <c r="A954" s="58"/>
    </row>
    <row r="955" spans="1:1">
      <c r="A955" s="58"/>
    </row>
    <row r="956" spans="1:1">
      <c r="A956" s="58"/>
    </row>
    <row r="957" spans="1:1">
      <c r="A957" s="58"/>
    </row>
    <row r="958" spans="1:1">
      <c r="A958" s="58"/>
    </row>
    <row r="959" spans="1:1">
      <c r="A959" s="58"/>
    </row>
    <row r="960" spans="1:1">
      <c r="A960" s="58"/>
    </row>
    <row r="961" spans="1:1">
      <c r="A961" s="58"/>
    </row>
    <row r="962" spans="1:1">
      <c r="A962" s="58"/>
    </row>
    <row r="963" spans="1:1">
      <c r="A963" s="58"/>
    </row>
    <row r="964" spans="1:1">
      <c r="A964" s="58"/>
    </row>
    <row r="965" spans="1:1">
      <c r="A965" s="58"/>
    </row>
    <row r="966" spans="1:1">
      <c r="A966" s="58"/>
    </row>
    <row r="967" spans="1:1">
      <c r="A967" s="58"/>
    </row>
    <row r="968" spans="1:1">
      <c r="A968" s="58"/>
    </row>
    <row r="969" spans="1:1">
      <c r="A969" s="58"/>
    </row>
    <row r="970" spans="1:1">
      <c r="A970" s="58"/>
    </row>
    <row r="971" spans="1:1">
      <c r="A971" s="58"/>
    </row>
    <row r="972" spans="1:1">
      <c r="A972" s="58"/>
    </row>
    <row r="973" spans="1:1">
      <c r="A973" s="58"/>
    </row>
    <row r="974" spans="1:1">
      <c r="A974" s="58"/>
    </row>
    <row r="975" spans="1:1">
      <c r="A975" s="58"/>
    </row>
    <row r="976" spans="1:1">
      <c r="A976" s="58"/>
    </row>
    <row r="977" spans="1:1">
      <c r="A977" s="58"/>
    </row>
    <row r="978" spans="1:1">
      <c r="A978" s="58"/>
    </row>
    <row r="979" spans="1:1">
      <c r="A979" s="58"/>
    </row>
    <row r="980" spans="1:1">
      <c r="A980" s="58"/>
    </row>
    <row r="981" spans="1:1">
      <c r="A981" s="58"/>
    </row>
    <row r="982" spans="1:1">
      <c r="A982" s="58"/>
    </row>
    <row r="983" spans="1:1">
      <c r="A983" s="58"/>
    </row>
    <row r="984" spans="1:1">
      <c r="A984" s="58"/>
    </row>
    <row r="985" spans="1:1">
      <c r="A985" s="58"/>
    </row>
    <row r="986" spans="1:1">
      <c r="A986" s="58"/>
    </row>
    <row r="987" spans="1:1">
      <c r="A987" s="58"/>
    </row>
    <row r="988" spans="1:1">
      <c r="A988" s="58"/>
    </row>
    <row r="989" spans="1:1">
      <c r="A989" s="58"/>
    </row>
    <row r="990" spans="1:1">
      <c r="A990" s="58"/>
    </row>
    <row r="991" spans="1:1">
      <c r="A991" s="58"/>
    </row>
    <row r="992" spans="1:1">
      <c r="A992" s="58"/>
    </row>
    <row r="993" spans="1:1">
      <c r="A993" s="58"/>
    </row>
    <row r="994" spans="1:1">
      <c r="A994" s="58"/>
    </row>
    <row r="995" spans="1:1">
      <c r="A995" s="58"/>
    </row>
    <row r="996" spans="1:1">
      <c r="A996" s="58"/>
    </row>
    <row r="997" spans="1:1">
      <c r="A997" s="58"/>
    </row>
    <row r="998" spans="1:1">
      <c r="A998" s="58"/>
    </row>
    <row r="999" spans="1:1">
      <c r="A999" s="58"/>
    </row>
    <row r="1000" spans="1:1">
      <c r="A1000" s="58"/>
    </row>
    <row r="1001" spans="1:1">
      <c r="A1001" s="58"/>
    </row>
    <row r="1002" spans="1:1">
      <c r="A1002" s="58"/>
    </row>
    <row r="1003" spans="1:1">
      <c r="A1003" s="58"/>
    </row>
    <row r="1004" spans="1:1">
      <c r="A1004" s="58"/>
    </row>
    <row r="1005" spans="1:1">
      <c r="A1005" s="58"/>
    </row>
    <row r="1006" spans="1:1">
      <c r="A1006" s="58"/>
    </row>
    <row r="1007" spans="1:1">
      <c r="A1007" s="58"/>
    </row>
    <row r="1008" spans="1:1">
      <c r="A1008" s="58"/>
    </row>
  </sheetData>
  <sortState ref="A5:J18">
    <sortCondition descending="1" ref="J5:J18"/>
  </sortState>
  <mergeCells count="1">
    <mergeCell ref="A2:C2"/>
  </mergeCells>
  <printOptions horizontalCentered="1" verticalCentered="1"/>
  <pageMargins left="0.70866141732283472" right="0" top="0.74803149606299213" bottom="0.74803149606299213" header="0.31496062992125984" footer="0.31496062992125984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72"/>
  <sheetViews>
    <sheetView workbookViewId="0">
      <selection activeCell="C4" sqref="C4:D10"/>
    </sheetView>
  </sheetViews>
  <sheetFormatPr defaultColWidth="24.28515625" defaultRowHeight="15"/>
  <cols>
    <col min="1" max="1" width="37.42578125" customWidth="1"/>
    <col min="2" max="2" width="22.5703125" style="55" customWidth="1"/>
    <col min="3" max="5" width="22.5703125" customWidth="1"/>
    <col min="6" max="7" width="11.5703125" customWidth="1"/>
    <col min="8" max="8" width="10.7109375" customWidth="1"/>
    <col min="9" max="9" width="10.5703125" customWidth="1"/>
    <col min="10" max="10" width="8.42578125" customWidth="1"/>
    <col min="11" max="11" width="9.42578125" customWidth="1"/>
    <col min="12" max="12" width="13.7109375" customWidth="1"/>
    <col min="13" max="13" width="10.5703125" customWidth="1"/>
  </cols>
  <sheetData>
    <row r="1" spans="1:16">
      <c r="A1" s="1" t="s">
        <v>0</v>
      </c>
    </row>
    <row r="2" spans="1:16">
      <c r="A2" s="200" t="s">
        <v>110</v>
      </c>
      <c r="B2" s="200"/>
      <c r="C2" s="209" t="s">
        <v>111</v>
      </c>
      <c r="D2" s="209"/>
      <c r="E2" s="88"/>
      <c r="F2" s="200"/>
      <c r="G2" s="200"/>
      <c r="H2" s="200"/>
      <c r="I2" s="200"/>
      <c r="J2" s="200"/>
      <c r="K2" s="200"/>
      <c r="L2" s="1"/>
      <c r="N2" t="s">
        <v>112</v>
      </c>
    </row>
    <row r="3" spans="1:16">
      <c r="A3" s="4" t="s">
        <v>4</v>
      </c>
      <c r="B3" s="89"/>
      <c r="C3" s="90" t="s">
        <v>14</v>
      </c>
      <c r="D3" s="90" t="s">
        <v>15</v>
      </c>
      <c r="E3" s="90" t="s">
        <v>29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105</v>
      </c>
      <c r="M3" s="121" t="s">
        <v>107</v>
      </c>
      <c r="N3" s="122" t="s">
        <v>4</v>
      </c>
      <c r="O3" s="122" t="s">
        <v>113</v>
      </c>
      <c r="P3" s="122" t="s">
        <v>114</v>
      </c>
    </row>
    <row r="4" spans="1:16">
      <c r="A4" s="91" t="s">
        <v>115</v>
      </c>
      <c r="B4" s="11" t="s">
        <v>17</v>
      </c>
      <c r="C4" s="92">
        <v>6843.21</v>
      </c>
      <c r="D4" s="93"/>
      <c r="E4" s="93"/>
      <c r="F4" s="14"/>
      <c r="G4" s="14"/>
      <c r="H4" s="14"/>
      <c r="I4" s="14"/>
      <c r="J4" s="14"/>
      <c r="K4" s="14"/>
      <c r="L4" s="84">
        <f>C4</f>
        <v>6843.21</v>
      </c>
      <c r="M4" s="14"/>
      <c r="N4" s="123"/>
      <c r="O4" s="123">
        <v>6500.25</v>
      </c>
      <c r="P4" s="123">
        <v>1156.77</v>
      </c>
    </row>
    <row r="5" spans="1:16">
      <c r="A5" s="91"/>
      <c r="B5" s="11" t="s">
        <v>18</v>
      </c>
      <c r="C5" s="93">
        <v>1156.77</v>
      </c>
      <c r="D5" s="93"/>
      <c r="E5" s="93"/>
      <c r="F5" s="14"/>
      <c r="G5" s="14"/>
      <c r="H5" s="14"/>
      <c r="I5" s="14"/>
      <c r="J5" s="14"/>
      <c r="K5" s="14"/>
      <c r="L5" s="84">
        <f>C5</f>
        <v>1156.77</v>
      </c>
      <c r="M5" s="14"/>
      <c r="N5" s="124"/>
      <c r="O5" s="123"/>
      <c r="P5" s="123"/>
    </row>
    <row r="6" spans="1:16">
      <c r="A6" s="91" t="s">
        <v>116</v>
      </c>
      <c r="B6" s="11"/>
      <c r="C6" s="93">
        <v>5500</v>
      </c>
      <c r="D6" s="93"/>
      <c r="E6" s="93"/>
      <c r="F6" s="94"/>
      <c r="G6" s="94"/>
      <c r="H6" s="94"/>
      <c r="I6" s="94"/>
      <c r="J6" s="94"/>
      <c r="K6" s="94"/>
      <c r="L6" s="84">
        <f>SUM(F6:K6)</f>
        <v>0</v>
      </c>
      <c r="M6" s="125">
        <f>L6/C6</f>
        <v>0</v>
      </c>
      <c r="N6" s="123">
        <v>5000</v>
      </c>
      <c r="O6" s="123"/>
      <c r="P6" s="123"/>
    </row>
    <row r="7" spans="1:16">
      <c r="A7" s="91" t="s">
        <v>117</v>
      </c>
      <c r="B7" s="11"/>
      <c r="C7" s="93">
        <v>1483.86</v>
      </c>
      <c r="D7" s="93"/>
      <c r="E7" s="93"/>
      <c r="F7" s="94"/>
      <c r="G7" s="94"/>
      <c r="H7" s="94"/>
      <c r="I7" s="94"/>
      <c r="J7" s="94"/>
      <c r="K7" s="94"/>
      <c r="L7" s="84">
        <f t="shared" ref="L7:L16" si="0">SUM(F7:K7)</f>
        <v>0</v>
      </c>
      <c r="M7" s="125">
        <f>L7/C7</f>
        <v>0</v>
      </c>
      <c r="N7" s="123">
        <v>500</v>
      </c>
      <c r="O7" s="123"/>
      <c r="P7" s="123"/>
    </row>
    <row r="8" spans="1:16">
      <c r="A8" s="95" t="s">
        <v>20</v>
      </c>
      <c r="B8" s="10"/>
      <c r="C8" s="93">
        <v>0</v>
      </c>
      <c r="D8" s="93"/>
      <c r="E8" s="93"/>
      <c r="F8" s="94"/>
      <c r="G8" s="94"/>
      <c r="H8" s="94"/>
      <c r="I8" s="94"/>
      <c r="J8" s="94"/>
      <c r="K8" s="94"/>
      <c r="L8" s="84">
        <f t="shared" si="0"/>
        <v>0</v>
      </c>
      <c r="M8" s="125"/>
      <c r="N8" s="123">
        <v>0</v>
      </c>
      <c r="O8" s="123"/>
      <c r="P8" s="123"/>
    </row>
    <row r="9" spans="1:16">
      <c r="A9" s="95" t="s">
        <v>21</v>
      </c>
      <c r="B9" s="10"/>
      <c r="C9" s="96"/>
      <c r="D9" s="93">
        <v>4</v>
      </c>
      <c r="E9" s="93"/>
      <c r="F9" s="94"/>
      <c r="G9" s="94"/>
      <c r="H9" s="97"/>
      <c r="I9" s="94"/>
      <c r="J9" s="94"/>
      <c r="K9" s="94"/>
      <c r="L9" s="84">
        <f t="shared" si="0"/>
        <v>0</v>
      </c>
      <c r="M9" s="125">
        <f>L9/D9</f>
        <v>0</v>
      </c>
      <c r="N9" s="124"/>
      <c r="O9" s="123">
        <v>3</v>
      </c>
      <c r="P9" s="123"/>
    </row>
    <row r="10" spans="1:16">
      <c r="A10" s="95" t="s">
        <v>22</v>
      </c>
      <c r="B10" s="21"/>
      <c r="C10" s="96"/>
      <c r="D10" s="93">
        <v>104</v>
      </c>
      <c r="E10" s="93"/>
      <c r="F10" s="94"/>
      <c r="G10" s="94"/>
      <c r="H10" s="94"/>
      <c r="I10" s="94"/>
      <c r="J10" s="94"/>
      <c r="K10" s="94"/>
      <c r="L10" s="84">
        <f t="shared" si="0"/>
        <v>0</v>
      </c>
      <c r="M10" s="125">
        <f>L10/D10</f>
        <v>0</v>
      </c>
      <c r="N10" s="124"/>
      <c r="O10" s="123">
        <v>104</v>
      </c>
      <c r="P10" s="123"/>
    </row>
    <row r="11" spans="1:16">
      <c r="A11" s="95" t="s">
        <v>23</v>
      </c>
      <c r="B11" s="10"/>
      <c r="C11" s="93"/>
      <c r="D11" s="93"/>
      <c r="E11" s="93"/>
      <c r="F11" s="94"/>
      <c r="G11" s="94"/>
      <c r="H11" s="94"/>
      <c r="I11" s="94"/>
      <c r="J11" s="126"/>
      <c r="K11" s="94"/>
      <c r="L11" s="84">
        <f t="shared" si="0"/>
        <v>0</v>
      </c>
      <c r="M11" s="125"/>
      <c r="N11" s="123"/>
      <c r="O11" s="123"/>
      <c r="P11" s="123"/>
    </row>
    <row r="12" spans="1:16">
      <c r="A12" s="95" t="s">
        <v>24</v>
      </c>
      <c r="B12" s="10"/>
      <c r="C12" s="93"/>
      <c r="D12" s="93"/>
      <c r="E12" s="93"/>
      <c r="F12" s="94"/>
      <c r="G12" s="94"/>
      <c r="H12" s="94"/>
      <c r="I12" s="94"/>
      <c r="J12" s="94"/>
      <c r="K12" s="94"/>
      <c r="L12" s="84">
        <f t="shared" si="0"/>
        <v>0</v>
      </c>
      <c r="M12" s="125" t="e">
        <f>L12/D12</f>
        <v>#DIV/0!</v>
      </c>
      <c r="N12" s="123"/>
      <c r="O12" s="123"/>
      <c r="P12" s="123"/>
    </row>
    <row r="13" spans="1:16">
      <c r="A13" s="98" t="s">
        <v>26</v>
      </c>
      <c r="B13" s="10"/>
      <c r="C13" s="93">
        <f>1483.86+6843.21</f>
        <v>8327.07</v>
      </c>
      <c r="D13" s="93"/>
      <c r="E13" s="93"/>
      <c r="F13" s="94"/>
      <c r="G13" s="94"/>
      <c r="H13" s="94"/>
      <c r="I13" s="94"/>
      <c r="J13" s="94"/>
      <c r="K13" s="94"/>
      <c r="L13" s="84">
        <f t="shared" si="0"/>
        <v>0</v>
      </c>
      <c r="M13" s="125"/>
      <c r="N13" s="123"/>
      <c r="O13" s="123"/>
      <c r="P13" s="123"/>
    </row>
    <row r="14" spans="1:16">
      <c r="A14" s="98" t="s">
        <v>27</v>
      </c>
      <c r="B14" s="21"/>
      <c r="C14" s="93"/>
      <c r="D14" s="93"/>
      <c r="E14" s="93"/>
      <c r="F14" s="99"/>
      <c r="G14" s="94"/>
      <c r="H14" s="94"/>
      <c r="I14" s="94"/>
      <c r="J14" s="94"/>
      <c r="K14" s="94"/>
      <c r="L14" s="84">
        <f t="shared" si="0"/>
        <v>0</v>
      </c>
      <c r="M14" s="125"/>
      <c r="N14" s="123"/>
      <c r="O14" s="123"/>
      <c r="P14" s="123"/>
    </row>
    <row r="15" spans="1:16">
      <c r="A15" s="98" t="s">
        <v>28</v>
      </c>
      <c r="B15" s="21"/>
      <c r="C15" s="93"/>
      <c r="D15" s="93"/>
      <c r="E15" s="93"/>
      <c r="F15" s="99"/>
      <c r="G15" s="94"/>
      <c r="H15" s="94"/>
      <c r="I15" s="94"/>
      <c r="J15" s="94"/>
      <c r="K15" s="94"/>
      <c r="L15" s="84">
        <f t="shared" si="0"/>
        <v>0</v>
      </c>
      <c r="M15" s="125"/>
      <c r="N15" s="123"/>
      <c r="O15" s="123"/>
      <c r="P15" s="123"/>
    </row>
    <row r="16" spans="1:16" ht="17.25">
      <c r="A16" s="100" t="s">
        <v>29</v>
      </c>
      <c r="B16" s="10"/>
      <c r="C16" s="93"/>
      <c r="D16" s="93"/>
      <c r="E16" s="93"/>
      <c r="F16" s="101"/>
      <c r="G16" s="94"/>
      <c r="H16" s="94"/>
      <c r="I16" s="94"/>
      <c r="J16" s="94"/>
      <c r="K16" s="94"/>
      <c r="L16" s="84">
        <f t="shared" si="0"/>
        <v>0</v>
      </c>
      <c r="M16" s="125"/>
      <c r="N16" s="123"/>
      <c r="O16" s="123"/>
      <c r="P16" s="123"/>
    </row>
    <row r="17" spans="1:16">
      <c r="B17" s="10"/>
      <c r="C17" s="93">
        <f>SUM(C4:C16)</f>
        <v>23310.91</v>
      </c>
      <c r="D17" s="93">
        <f>SUM(D4:D16)</f>
        <v>108</v>
      </c>
      <c r="E17" s="93">
        <v>0</v>
      </c>
      <c r="F17" s="30">
        <f t="shared" ref="F17:K17" si="1">SUM(F6:F16)</f>
        <v>0</v>
      </c>
      <c r="G17" s="30">
        <f t="shared" si="1"/>
        <v>0</v>
      </c>
      <c r="H17" s="30">
        <f t="shared" si="1"/>
        <v>0</v>
      </c>
      <c r="I17" s="30">
        <f t="shared" si="1"/>
        <v>0</v>
      </c>
      <c r="J17" s="30">
        <f t="shared" si="1"/>
        <v>0</v>
      </c>
      <c r="K17" s="30">
        <f t="shared" si="1"/>
        <v>0</v>
      </c>
      <c r="L17" s="85">
        <f>SUM(L4:L16)</f>
        <v>7999.98</v>
      </c>
      <c r="M17" s="125">
        <f>L17/C17</f>
        <v>0.34318608754441587</v>
      </c>
      <c r="N17" s="123">
        <f>SUM(N4:N16)</f>
        <v>5500</v>
      </c>
      <c r="O17" s="123">
        <f>SUM(O4:O16)</f>
        <v>6607.25</v>
      </c>
      <c r="P17" s="123">
        <f>SUM(P4:P16)</f>
        <v>1156.77</v>
      </c>
    </row>
    <row r="18" spans="1:16">
      <c r="A18" s="26" t="s">
        <v>31</v>
      </c>
      <c r="B18" s="10"/>
      <c r="C18" s="210">
        <f>C17+D17</f>
        <v>23418.91</v>
      </c>
      <c r="D18" s="211"/>
      <c r="E18" s="212"/>
      <c r="F18" s="211"/>
      <c r="G18" s="212"/>
      <c r="H18" s="210"/>
      <c r="I18" s="212"/>
      <c r="J18" s="210"/>
      <c r="K18" s="212"/>
      <c r="L18" s="127"/>
      <c r="M18" s="127"/>
      <c r="N18" s="213" t="s">
        <v>118</v>
      </c>
      <c r="O18" s="214"/>
      <c r="P18" s="128">
        <f>SUM(O17+P17+N17)</f>
        <v>13264.02</v>
      </c>
    </row>
    <row r="19" spans="1:16">
      <c r="A19" s="19"/>
      <c r="B19" s="10"/>
      <c r="C19" s="102"/>
      <c r="D19" s="103"/>
      <c r="E19" s="103"/>
      <c r="F19" s="23"/>
      <c r="G19" s="23"/>
      <c r="H19" s="23"/>
      <c r="I19" s="23"/>
      <c r="J19" s="23"/>
      <c r="K19" s="23"/>
      <c r="L19" s="23"/>
      <c r="M19" s="18"/>
      <c r="N19" s="123"/>
      <c r="O19" s="123"/>
      <c r="P19" s="123"/>
    </row>
    <row r="20" spans="1:16">
      <c r="A20" s="204" t="s">
        <v>104</v>
      </c>
      <c r="B20" s="205"/>
      <c r="C20" s="104" t="s">
        <v>34</v>
      </c>
      <c r="D20" s="104" t="s">
        <v>35</v>
      </c>
      <c r="E20" s="104" t="s">
        <v>29</v>
      </c>
      <c r="F20" s="104"/>
      <c r="G20" s="104"/>
      <c r="H20" s="104"/>
      <c r="I20" s="104"/>
      <c r="J20" s="104"/>
      <c r="K20" s="104"/>
      <c r="L20" s="104"/>
      <c r="M20" s="104"/>
      <c r="N20" s="129" t="s">
        <v>34</v>
      </c>
      <c r="O20" s="129" t="s">
        <v>119</v>
      </c>
      <c r="P20" s="129" t="s">
        <v>120</v>
      </c>
    </row>
    <row r="21" spans="1:16">
      <c r="A21" s="10" t="s">
        <v>36</v>
      </c>
      <c r="B21" s="10" t="s">
        <v>37</v>
      </c>
      <c r="C21" s="93">
        <v>130</v>
      </c>
      <c r="D21" s="93"/>
      <c r="E21" s="93"/>
      <c r="F21" s="45"/>
      <c r="G21" s="105"/>
      <c r="H21" s="23"/>
      <c r="I21" s="23"/>
      <c r="J21" s="23"/>
      <c r="K21" s="23"/>
      <c r="L21" s="84">
        <f>SUM(F21:K21)</f>
        <v>0</v>
      </c>
      <c r="M21" s="125">
        <f>L21/C21</f>
        <v>0</v>
      </c>
      <c r="N21" s="123">
        <v>130</v>
      </c>
      <c r="O21" s="123"/>
      <c r="P21" s="123"/>
    </row>
    <row r="22" spans="1:16">
      <c r="A22" s="19" t="s">
        <v>38</v>
      </c>
      <c r="B22" s="10" t="s">
        <v>39</v>
      </c>
      <c r="C22" s="93"/>
      <c r="D22" s="93">
        <v>0</v>
      </c>
      <c r="E22" s="93"/>
      <c r="F22" s="105"/>
      <c r="G22" s="23"/>
      <c r="H22" s="23"/>
      <c r="I22" s="23"/>
      <c r="J22" s="23"/>
      <c r="K22" s="23"/>
      <c r="L22" s="84">
        <f t="shared" ref="L22:L54" si="2">SUM(F22:K22)</f>
        <v>0</v>
      </c>
      <c r="M22" s="125"/>
      <c r="N22" s="130"/>
      <c r="O22" s="123"/>
      <c r="P22" s="123"/>
    </row>
    <row r="23" spans="1:16">
      <c r="A23" s="19"/>
      <c r="B23" s="10" t="s">
        <v>40</v>
      </c>
      <c r="C23" s="93"/>
      <c r="D23" s="93"/>
      <c r="E23" s="93"/>
      <c r="F23" s="105"/>
      <c r="G23" s="23"/>
      <c r="H23" s="23"/>
      <c r="I23" s="23"/>
      <c r="J23" s="23"/>
      <c r="K23" s="23"/>
      <c r="L23" s="84">
        <f t="shared" si="2"/>
        <v>0</v>
      </c>
      <c r="M23" s="125"/>
      <c r="N23" s="130"/>
      <c r="O23" s="123"/>
      <c r="P23" s="123"/>
    </row>
    <row r="24" spans="1:16">
      <c r="A24" s="19"/>
      <c r="B24" s="10" t="s">
        <v>41</v>
      </c>
      <c r="C24" s="93"/>
      <c r="D24" s="93">
        <v>0</v>
      </c>
      <c r="E24" s="93"/>
      <c r="F24" s="105"/>
      <c r="G24" s="23"/>
      <c r="H24" s="53"/>
      <c r="I24" s="23"/>
      <c r="J24" s="23"/>
      <c r="K24" s="23"/>
      <c r="L24" s="84">
        <f t="shared" si="2"/>
        <v>0</v>
      </c>
      <c r="M24" s="125"/>
      <c r="N24" s="130"/>
      <c r="O24" s="123"/>
      <c r="P24" s="123"/>
    </row>
    <row r="25" spans="1:16">
      <c r="A25" s="19" t="s">
        <v>42</v>
      </c>
      <c r="B25" s="10" t="s">
        <v>43</v>
      </c>
      <c r="C25" s="93"/>
      <c r="D25" s="93">
        <v>125</v>
      </c>
      <c r="E25" s="93"/>
      <c r="F25" s="105"/>
      <c r="G25" s="23"/>
      <c r="H25" s="53"/>
      <c r="I25" s="23"/>
      <c r="J25" s="23"/>
      <c r="K25" s="23"/>
      <c r="L25" s="84">
        <f t="shared" si="2"/>
        <v>0</v>
      </c>
      <c r="M25" s="125">
        <f>L25/D25</f>
        <v>0</v>
      </c>
      <c r="N25" s="124"/>
      <c r="O25" s="123">
        <v>125</v>
      </c>
      <c r="P25" s="123"/>
    </row>
    <row r="26" spans="1:16">
      <c r="A26" s="19"/>
      <c r="B26" s="10" t="s">
        <v>44</v>
      </c>
      <c r="C26" s="93"/>
      <c r="D26" s="93">
        <v>100</v>
      </c>
      <c r="E26" s="93"/>
      <c r="F26" s="105"/>
      <c r="G26" s="23"/>
      <c r="H26" s="53"/>
      <c r="I26" s="23"/>
      <c r="J26" s="23"/>
      <c r="K26" s="23"/>
      <c r="L26" s="84">
        <f t="shared" si="2"/>
        <v>0</v>
      </c>
      <c r="M26" s="125">
        <f>L26/D26</f>
        <v>0</v>
      </c>
      <c r="N26" s="123"/>
      <c r="O26" s="123">
        <v>100</v>
      </c>
      <c r="P26" s="123"/>
    </row>
    <row r="27" spans="1:16">
      <c r="A27" s="19"/>
      <c r="B27" s="10" t="s">
        <v>45</v>
      </c>
      <c r="C27" s="93"/>
      <c r="D27" s="93">
        <v>125</v>
      </c>
      <c r="E27" s="93"/>
      <c r="F27" s="105"/>
      <c r="G27" s="23"/>
      <c r="H27" s="53"/>
      <c r="I27" s="23"/>
      <c r="J27" s="23"/>
      <c r="K27" s="23"/>
      <c r="L27" s="84">
        <f t="shared" si="2"/>
        <v>0</v>
      </c>
      <c r="M27" s="125">
        <f>L27/D27</f>
        <v>0</v>
      </c>
      <c r="N27" s="123"/>
      <c r="O27" s="123">
        <v>125</v>
      </c>
      <c r="P27" s="123"/>
    </row>
    <row r="28" spans="1:16">
      <c r="A28" s="19"/>
      <c r="B28" s="10" t="s">
        <v>46</v>
      </c>
      <c r="C28" s="93"/>
      <c r="D28" s="93">
        <v>50</v>
      </c>
      <c r="E28" s="93"/>
      <c r="F28" s="105"/>
      <c r="G28" s="23"/>
      <c r="H28" s="23"/>
      <c r="I28" s="23"/>
      <c r="J28" s="23"/>
      <c r="K28" s="23"/>
      <c r="L28" s="84">
        <f t="shared" si="2"/>
        <v>0</v>
      </c>
      <c r="M28" s="125">
        <f>L28/D28</f>
        <v>0</v>
      </c>
      <c r="N28" s="131"/>
      <c r="O28" s="123">
        <v>50</v>
      </c>
      <c r="P28" s="123"/>
    </row>
    <row r="29" spans="1:16">
      <c r="A29" s="19"/>
      <c r="B29" s="10" t="s">
        <v>47</v>
      </c>
      <c r="C29" s="93"/>
      <c r="D29" s="93">
        <v>0</v>
      </c>
      <c r="E29" s="93"/>
      <c r="F29" s="105"/>
      <c r="G29" s="23"/>
      <c r="H29" s="23"/>
      <c r="I29" s="23"/>
      <c r="J29" s="23"/>
      <c r="K29" s="23"/>
      <c r="L29" s="84">
        <f t="shared" si="2"/>
        <v>0</v>
      </c>
      <c r="M29" s="125"/>
      <c r="N29" s="132"/>
      <c r="O29" s="123"/>
      <c r="P29" s="123"/>
    </row>
    <row r="30" spans="1:16">
      <c r="A30" s="10" t="s">
        <v>48</v>
      </c>
      <c r="B30" s="10" t="s">
        <v>49</v>
      </c>
      <c r="C30" s="93">
        <v>335</v>
      </c>
      <c r="D30" s="93"/>
      <c r="E30" s="93"/>
      <c r="F30" s="57"/>
      <c r="G30" s="105"/>
      <c r="H30" s="23"/>
      <c r="I30" s="23"/>
      <c r="J30" s="23"/>
      <c r="K30" s="23"/>
      <c r="L30" s="84">
        <f t="shared" si="2"/>
        <v>0</v>
      </c>
      <c r="M30" s="125">
        <f>L30/C30</f>
        <v>0</v>
      </c>
      <c r="N30" s="132">
        <v>335</v>
      </c>
      <c r="O30" s="123"/>
      <c r="P30" s="123"/>
    </row>
    <row r="31" spans="1:16">
      <c r="A31" s="10"/>
      <c r="B31" s="10" t="s">
        <v>50</v>
      </c>
      <c r="C31" s="93">
        <v>0</v>
      </c>
      <c r="D31" s="93">
        <v>0</v>
      </c>
      <c r="E31" s="93"/>
      <c r="F31" s="105"/>
      <c r="G31" s="23"/>
      <c r="H31" s="23"/>
      <c r="I31" s="23"/>
      <c r="J31" s="23"/>
      <c r="K31" s="23"/>
      <c r="L31" s="84">
        <f t="shared" si="2"/>
        <v>0</v>
      </c>
      <c r="M31" s="125"/>
      <c r="N31" s="133"/>
      <c r="O31" s="123"/>
      <c r="P31" s="123"/>
    </row>
    <row r="32" spans="1:16">
      <c r="A32" s="10"/>
      <c r="B32" s="10" t="s">
        <v>29</v>
      </c>
      <c r="C32" s="93"/>
      <c r="D32" s="93">
        <v>0</v>
      </c>
      <c r="E32" s="93">
        <v>162</v>
      </c>
      <c r="F32" s="105"/>
      <c r="G32" s="23"/>
      <c r="H32" s="23"/>
      <c r="I32" s="23"/>
      <c r="J32" s="23"/>
      <c r="K32" s="23"/>
      <c r="L32" s="84">
        <f t="shared" si="2"/>
        <v>0</v>
      </c>
      <c r="M32" s="125">
        <f>L32/E32</f>
        <v>0</v>
      </c>
      <c r="N32" s="123"/>
      <c r="O32" s="123"/>
      <c r="P32" s="123">
        <v>162</v>
      </c>
    </row>
    <row r="33" spans="1:16">
      <c r="A33" s="10" t="s">
        <v>51</v>
      </c>
      <c r="B33" s="10" t="s">
        <v>52</v>
      </c>
      <c r="C33" s="93">
        <v>1900</v>
      </c>
      <c r="D33" s="93"/>
      <c r="E33" s="93"/>
      <c r="F33" s="45"/>
      <c r="G33" s="105"/>
      <c r="H33" s="17"/>
      <c r="I33" s="17"/>
      <c r="J33" s="23"/>
      <c r="K33" s="23"/>
      <c r="L33" s="84">
        <f t="shared" si="2"/>
        <v>0</v>
      </c>
      <c r="M33" s="125">
        <f>L33/C33</f>
        <v>0</v>
      </c>
      <c r="N33" s="123">
        <v>1900</v>
      </c>
      <c r="O33" s="123"/>
      <c r="P33" s="123"/>
    </row>
    <row r="34" spans="1:16">
      <c r="A34" s="19"/>
      <c r="B34" s="10" t="s">
        <v>53</v>
      </c>
      <c r="C34" s="93">
        <v>0</v>
      </c>
      <c r="D34" s="93"/>
      <c r="E34" s="93">
        <v>225</v>
      </c>
      <c r="F34" s="45"/>
      <c r="G34" s="105"/>
      <c r="H34" s="23"/>
      <c r="I34" s="23"/>
      <c r="J34" s="23"/>
      <c r="K34" s="23"/>
      <c r="L34" s="84">
        <f t="shared" si="2"/>
        <v>0</v>
      </c>
      <c r="M34" s="125">
        <f>L34/E34</f>
        <v>0</v>
      </c>
      <c r="N34" s="123"/>
      <c r="O34" s="123"/>
      <c r="P34" s="123">
        <v>225</v>
      </c>
    </row>
    <row r="35" spans="1:16">
      <c r="A35" s="10"/>
      <c r="B35" s="10" t="s">
        <v>54</v>
      </c>
      <c r="C35" s="93">
        <v>100</v>
      </c>
      <c r="D35" s="92"/>
      <c r="E35" s="96"/>
      <c r="F35" s="105"/>
      <c r="G35" s="23"/>
      <c r="H35" s="23"/>
      <c r="I35" s="23"/>
      <c r="J35" s="23"/>
      <c r="K35" s="23"/>
      <c r="L35" s="84">
        <f t="shared" si="2"/>
        <v>0</v>
      </c>
      <c r="M35" s="125">
        <f>L35/C35</f>
        <v>0</v>
      </c>
      <c r="N35" s="123">
        <v>100</v>
      </c>
      <c r="O35" s="123"/>
      <c r="P35" s="123"/>
    </row>
    <row r="36" spans="1:16">
      <c r="A36" s="10"/>
      <c r="B36" s="10" t="s">
        <v>55</v>
      </c>
      <c r="C36" s="93">
        <v>0</v>
      </c>
      <c r="D36" s="93"/>
      <c r="E36" s="93"/>
      <c r="F36" s="45"/>
      <c r="G36" s="105"/>
      <c r="H36" s="23"/>
      <c r="I36" s="23"/>
      <c r="J36" s="23"/>
      <c r="K36" s="23"/>
      <c r="L36" s="84">
        <f t="shared" si="2"/>
        <v>0</v>
      </c>
      <c r="M36" s="125" t="e">
        <f>L36/C36</f>
        <v>#DIV/0!</v>
      </c>
      <c r="N36" s="123"/>
      <c r="O36" s="123"/>
      <c r="P36" s="123"/>
    </row>
    <row r="37" spans="1:16">
      <c r="A37" s="19"/>
      <c r="B37" s="10" t="s">
        <v>56</v>
      </c>
      <c r="C37" s="93">
        <v>400</v>
      </c>
      <c r="D37" s="92"/>
      <c r="E37" s="96"/>
      <c r="F37" s="105"/>
      <c r="G37" s="23"/>
      <c r="H37" s="23"/>
      <c r="I37" s="23"/>
      <c r="J37" s="23"/>
      <c r="K37" s="126"/>
      <c r="L37" s="84">
        <f t="shared" si="2"/>
        <v>0</v>
      </c>
      <c r="M37" s="125" t="e">
        <f>L37/D37</f>
        <v>#DIV/0!</v>
      </c>
      <c r="N37" s="123">
        <v>400</v>
      </c>
      <c r="O37" s="123"/>
      <c r="P37" s="123"/>
    </row>
    <row r="38" spans="1:16">
      <c r="A38" s="10" t="s">
        <v>57</v>
      </c>
      <c r="B38" s="10" t="s">
        <v>58</v>
      </c>
      <c r="C38" s="93">
        <v>1900</v>
      </c>
      <c r="D38" s="93"/>
      <c r="E38" s="93"/>
      <c r="F38" s="105"/>
      <c r="G38" s="23"/>
      <c r="H38" s="17"/>
      <c r="I38" s="126"/>
      <c r="J38" s="23"/>
      <c r="K38" s="126"/>
      <c r="L38" s="84">
        <f t="shared" si="2"/>
        <v>0</v>
      </c>
      <c r="M38" s="125">
        <f>L38/C38</f>
        <v>0</v>
      </c>
      <c r="N38" s="123">
        <v>1900</v>
      </c>
      <c r="O38" s="123"/>
      <c r="P38" s="123"/>
    </row>
    <row r="39" spans="1:16">
      <c r="A39" s="19"/>
      <c r="B39" s="10" t="s">
        <v>59</v>
      </c>
      <c r="C39" s="93">
        <v>80</v>
      </c>
      <c r="D39" s="93"/>
      <c r="E39" s="93"/>
      <c r="F39" s="105"/>
      <c r="G39" s="23"/>
      <c r="H39" s="23"/>
      <c r="I39" s="23"/>
      <c r="J39" s="23"/>
      <c r="K39" s="23"/>
      <c r="L39" s="84">
        <f t="shared" si="2"/>
        <v>0</v>
      </c>
      <c r="M39" s="125">
        <f>L39/C39</f>
        <v>0</v>
      </c>
      <c r="N39" s="123">
        <v>80</v>
      </c>
      <c r="O39" s="123"/>
      <c r="P39" s="123"/>
    </row>
    <row r="40" spans="1:16">
      <c r="A40" s="10" t="s">
        <v>62</v>
      </c>
      <c r="B40" s="10" t="s">
        <v>63</v>
      </c>
      <c r="C40" s="93">
        <v>100</v>
      </c>
      <c r="D40" s="93"/>
      <c r="E40" s="93"/>
      <c r="F40" s="105"/>
      <c r="G40" s="23"/>
      <c r="H40" s="23"/>
      <c r="I40" s="23"/>
      <c r="J40" s="23"/>
      <c r="K40" s="23"/>
      <c r="L40" s="84">
        <f t="shared" si="2"/>
        <v>0</v>
      </c>
      <c r="M40" s="125">
        <f>L40/C40</f>
        <v>0</v>
      </c>
      <c r="N40" s="123">
        <v>100</v>
      </c>
      <c r="O40" s="123"/>
      <c r="P40" s="123"/>
    </row>
    <row r="41" spans="1:16">
      <c r="A41" s="10"/>
      <c r="B41" s="10" t="s">
        <v>64</v>
      </c>
      <c r="C41" s="93">
        <v>150</v>
      </c>
      <c r="D41" s="93"/>
      <c r="E41" s="93"/>
      <c r="F41" s="105"/>
      <c r="G41" s="23"/>
      <c r="H41" s="23"/>
      <c r="I41" s="126"/>
      <c r="J41" s="23"/>
      <c r="K41" s="126"/>
      <c r="L41" s="84">
        <f t="shared" si="2"/>
        <v>0</v>
      </c>
      <c r="M41" s="125">
        <f>L41/C41</f>
        <v>0</v>
      </c>
      <c r="N41" s="123">
        <v>150</v>
      </c>
      <c r="O41" s="123"/>
      <c r="P41" s="123"/>
    </row>
    <row r="42" spans="1:16">
      <c r="A42" s="10"/>
      <c r="B42" s="10" t="s">
        <v>24</v>
      </c>
      <c r="C42" s="93">
        <v>150</v>
      </c>
      <c r="D42" s="93"/>
      <c r="E42" s="93"/>
      <c r="F42" s="105"/>
      <c r="G42" s="23"/>
      <c r="H42" s="23"/>
      <c r="I42" s="23"/>
      <c r="J42" s="23"/>
      <c r="K42" s="23"/>
      <c r="L42" s="84">
        <f t="shared" si="2"/>
        <v>0</v>
      </c>
      <c r="M42" s="125" t="e">
        <f>L42/D42</f>
        <v>#DIV/0!</v>
      </c>
      <c r="N42" s="123">
        <v>150</v>
      </c>
      <c r="O42" s="123"/>
      <c r="P42" s="123"/>
    </row>
    <row r="43" spans="1:16">
      <c r="A43" s="10" t="s">
        <v>65</v>
      </c>
      <c r="B43" s="10" t="s">
        <v>66</v>
      </c>
      <c r="C43" s="93">
        <v>80</v>
      </c>
      <c r="D43" s="93"/>
      <c r="E43" s="93"/>
      <c r="F43" s="105"/>
      <c r="G43" s="23"/>
      <c r="H43" s="53"/>
      <c r="I43" s="23"/>
      <c r="J43" s="23"/>
      <c r="K43" s="23"/>
      <c r="L43" s="84">
        <f t="shared" si="2"/>
        <v>0</v>
      </c>
      <c r="M43" s="125">
        <f t="shared" ref="M43:M48" si="3">L43/C43</f>
        <v>0</v>
      </c>
      <c r="N43" s="123">
        <v>80</v>
      </c>
      <c r="O43" s="123"/>
      <c r="P43" s="123"/>
    </row>
    <row r="44" spans="1:16">
      <c r="A44" s="10" t="s">
        <v>68</v>
      </c>
      <c r="B44" s="20"/>
      <c r="C44" s="93">
        <v>70</v>
      </c>
      <c r="D44" s="106"/>
      <c r="E44" s="106"/>
      <c r="G44" s="23"/>
      <c r="H44" s="107"/>
      <c r="I44" s="23"/>
      <c r="J44" s="23"/>
      <c r="K44" s="23"/>
      <c r="L44" s="84">
        <f t="shared" si="2"/>
        <v>0</v>
      </c>
      <c r="M44" s="125">
        <f t="shared" si="3"/>
        <v>0</v>
      </c>
      <c r="N44" s="123">
        <v>70</v>
      </c>
      <c r="O44" s="123"/>
      <c r="P44" s="123"/>
    </row>
    <row r="45" spans="1:16">
      <c r="A45" s="10" t="s">
        <v>69</v>
      </c>
      <c r="B45" s="10"/>
      <c r="C45" s="93">
        <f>80*3</f>
        <v>240</v>
      </c>
      <c r="D45" s="92"/>
      <c r="E45" s="92"/>
      <c r="F45" s="105"/>
      <c r="G45" s="105"/>
      <c r="H45" s="23"/>
      <c r="I45" s="23"/>
      <c r="J45" s="23"/>
      <c r="K45" s="126"/>
      <c r="L45" s="84">
        <f t="shared" si="2"/>
        <v>0</v>
      </c>
      <c r="M45" s="125">
        <f t="shared" si="3"/>
        <v>0</v>
      </c>
      <c r="N45" s="123">
        <v>240</v>
      </c>
      <c r="O45" s="123"/>
      <c r="P45" s="123"/>
    </row>
    <row r="46" spans="1:16">
      <c r="A46" s="10" t="s">
        <v>70</v>
      </c>
      <c r="B46" s="10" t="s">
        <v>71</v>
      </c>
      <c r="C46" s="93">
        <v>0</v>
      </c>
      <c r="D46" s="93"/>
      <c r="E46" s="93"/>
      <c r="F46" s="105"/>
      <c r="G46" s="23"/>
      <c r="H46" s="23"/>
      <c r="I46" s="23"/>
      <c r="J46" s="23"/>
      <c r="K46" s="23"/>
      <c r="L46" s="84">
        <f t="shared" si="2"/>
        <v>0</v>
      </c>
      <c r="M46" s="125" t="e">
        <f t="shared" si="3"/>
        <v>#DIV/0!</v>
      </c>
      <c r="N46" s="123"/>
      <c r="O46" s="123"/>
      <c r="P46" s="123"/>
    </row>
    <row r="47" spans="1:16">
      <c r="A47" s="10" t="s">
        <v>72</v>
      </c>
      <c r="B47" s="10"/>
      <c r="C47" s="93">
        <v>35</v>
      </c>
      <c r="D47" s="93"/>
      <c r="E47" s="93"/>
      <c r="F47" s="105"/>
      <c r="G47" s="23"/>
      <c r="H47" s="23"/>
      <c r="I47" s="23"/>
      <c r="J47" s="23"/>
      <c r="K47" s="23"/>
      <c r="L47" s="84">
        <f t="shared" si="2"/>
        <v>0</v>
      </c>
      <c r="M47" s="125">
        <f t="shared" si="3"/>
        <v>0</v>
      </c>
      <c r="N47" s="123">
        <v>35</v>
      </c>
      <c r="O47" s="123"/>
      <c r="P47" s="123"/>
    </row>
    <row r="48" spans="1:16">
      <c r="A48" s="10" t="s">
        <v>73</v>
      </c>
      <c r="B48" s="10" t="s">
        <v>74</v>
      </c>
      <c r="C48" s="93">
        <v>70</v>
      </c>
      <c r="D48" s="93"/>
      <c r="E48" s="93"/>
      <c r="F48" s="105"/>
      <c r="G48" s="23"/>
      <c r="H48" s="23"/>
      <c r="I48" s="23"/>
      <c r="J48" s="23"/>
      <c r="K48" s="53"/>
      <c r="L48" s="84">
        <f t="shared" si="2"/>
        <v>0</v>
      </c>
      <c r="M48" s="125">
        <f t="shared" si="3"/>
        <v>0</v>
      </c>
      <c r="N48" s="123">
        <v>70</v>
      </c>
      <c r="O48" s="123"/>
      <c r="P48" s="123"/>
    </row>
    <row r="49" spans="1:16">
      <c r="A49" s="24" t="s">
        <v>26</v>
      </c>
      <c r="B49" s="24" t="s">
        <v>75</v>
      </c>
      <c r="C49" s="93"/>
      <c r="D49" s="106"/>
      <c r="E49" s="106"/>
      <c r="F49" s="45"/>
      <c r="G49" s="105"/>
      <c r="H49" s="23"/>
      <c r="I49" s="23"/>
      <c r="J49" s="23"/>
      <c r="K49" s="23"/>
      <c r="L49" s="84">
        <f t="shared" si="2"/>
        <v>0</v>
      </c>
      <c r="M49" s="125"/>
      <c r="N49" s="123"/>
      <c r="O49" s="123"/>
      <c r="P49" s="123"/>
    </row>
    <row r="50" spans="1:16">
      <c r="A50" s="24" t="s">
        <v>76</v>
      </c>
      <c r="B50" s="24"/>
      <c r="C50" s="93"/>
      <c r="D50" s="106"/>
      <c r="E50" s="106">
        <v>250</v>
      </c>
      <c r="F50" s="105"/>
      <c r="G50" s="23"/>
      <c r="H50" s="53"/>
      <c r="I50" s="23"/>
      <c r="J50" s="23"/>
      <c r="K50" s="23"/>
      <c r="L50" s="84">
        <f t="shared" si="2"/>
        <v>0</v>
      </c>
      <c r="M50" s="125"/>
      <c r="N50" s="123"/>
      <c r="O50" s="123"/>
      <c r="P50" s="123">
        <v>250</v>
      </c>
    </row>
    <row r="51" spans="1:16">
      <c r="A51" s="24" t="s">
        <v>46</v>
      </c>
      <c r="B51" s="24" t="s">
        <v>78</v>
      </c>
      <c r="C51" s="93">
        <v>12</v>
      </c>
      <c r="D51" s="106"/>
      <c r="E51" s="106"/>
      <c r="F51" s="105"/>
      <c r="G51" s="23"/>
      <c r="H51" s="53"/>
      <c r="I51" s="23"/>
      <c r="J51" s="23"/>
      <c r="K51" s="23"/>
      <c r="L51" s="84"/>
      <c r="M51" s="125">
        <f>L51/C51</f>
        <v>0</v>
      </c>
      <c r="N51" s="123">
        <v>12</v>
      </c>
      <c r="O51" s="123"/>
      <c r="P51" s="123"/>
    </row>
    <row r="52" spans="1:16">
      <c r="A52" s="24"/>
      <c r="B52" s="24" t="s">
        <v>121</v>
      </c>
      <c r="C52" s="93"/>
      <c r="D52" s="106">
        <v>0</v>
      </c>
      <c r="E52" s="106"/>
      <c r="F52" s="105"/>
      <c r="G52" s="23"/>
      <c r="H52" s="23"/>
      <c r="I52" s="23"/>
      <c r="J52" s="23"/>
      <c r="K52" s="23"/>
      <c r="L52" s="84">
        <f t="shared" si="2"/>
        <v>0</v>
      </c>
      <c r="M52" s="125"/>
      <c r="N52" s="123"/>
      <c r="O52" s="123"/>
      <c r="P52" s="123"/>
    </row>
    <row r="53" spans="1:16">
      <c r="A53" s="10" t="s">
        <v>79</v>
      </c>
      <c r="B53" s="10"/>
      <c r="C53" s="92"/>
      <c r="D53" s="93">
        <v>200</v>
      </c>
      <c r="E53" s="93"/>
      <c r="F53" s="105"/>
      <c r="G53" s="23"/>
      <c r="H53" s="23"/>
      <c r="I53" s="23"/>
      <c r="J53" s="23"/>
      <c r="K53" s="23"/>
      <c r="L53" s="84">
        <f t="shared" si="2"/>
        <v>0</v>
      </c>
      <c r="M53" s="125">
        <f>L53/D53</f>
        <v>0</v>
      </c>
      <c r="N53" s="123"/>
      <c r="O53" s="123">
        <v>200</v>
      </c>
      <c r="P53" s="123"/>
    </row>
    <row r="54" spans="1:16">
      <c r="A54" s="36" t="s">
        <v>80</v>
      </c>
      <c r="B54" s="36"/>
      <c r="C54" s="93">
        <f t="shared" ref="C54:K54" si="4">SUM(C21:C53)</f>
        <v>5752</v>
      </c>
      <c r="D54" s="93">
        <f t="shared" si="4"/>
        <v>600</v>
      </c>
      <c r="E54" s="93">
        <f t="shared" si="4"/>
        <v>637</v>
      </c>
      <c r="F54" s="108">
        <f t="shared" si="4"/>
        <v>0</v>
      </c>
      <c r="G54" s="30">
        <f t="shared" si="4"/>
        <v>0</v>
      </c>
      <c r="H54" s="30">
        <f t="shared" si="4"/>
        <v>0</v>
      </c>
      <c r="I54" s="30">
        <f t="shared" si="4"/>
        <v>0</v>
      </c>
      <c r="J54" s="30">
        <f t="shared" si="4"/>
        <v>0</v>
      </c>
      <c r="K54" s="30">
        <f t="shared" si="4"/>
        <v>0</v>
      </c>
      <c r="L54" s="85">
        <f t="shared" si="2"/>
        <v>0</v>
      </c>
      <c r="M54" s="125">
        <f>L54/C55</f>
        <v>0</v>
      </c>
      <c r="N54" s="134">
        <f>SUM(N21:N53)</f>
        <v>5752</v>
      </c>
      <c r="O54" s="134">
        <f>SUM(O21:O53)</f>
        <v>600</v>
      </c>
      <c r="P54" s="134">
        <f>SUM(P21:P53)</f>
        <v>637</v>
      </c>
    </row>
    <row r="55" spans="1:16">
      <c r="A55" s="52"/>
      <c r="B55" s="53"/>
      <c r="C55" s="215">
        <f>C54+D54+E54</f>
        <v>6989</v>
      </c>
      <c r="D55" s="216"/>
      <c r="E55" s="217"/>
      <c r="F55" s="218"/>
      <c r="G55" s="218"/>
      <c r="H55" s="218"/>
      <c r="I55" s="218"/>
      <c r="J55" s="218"/>
      <c r="K55" s="218"/>
      <c r="L55" s="218"/>
      <c r="M55" s="218"/>
      <c r="N55" s="135" t="s">
        <v>122</v>
      </c>
      <c r="O55" s="136">
        <f>SUM(N54+O54+P54)</f>
        <v>6989</v>
      </c>
      <c r="P55" s="137"/>
    </row>
    <row r="56" spans="1:16">
      <c r="A56" s="109"/>
      <c r="B56" s="110"/>
      <c r="C56" s="111"/>
      <c r="D56" s="81"/>
      <c r="E56" s="81"/>
      <c r="F56" s="109"/>
      <c r="G56" s="109"/>
      <c r="H56" s="112"/>
      <c r="I56" s="109"/>
      <c r="J56" s="109"/>
      <c r="K56" s="109"/>
      <c r="L56" s="138"/>
    </row>
    <row r="57" spans="1:16">
      <c r="A57" s="113"/>
      <c r="B57" s="114"/>
      <c r="C57" s="109"/>
      <c r="F57" s="109"/>
      <c r="G57" s="109"/>
      <c r="H57" s="109"/>
      <c r="I57" s="109"/>
      <c r="J57" s="109"/>
      <c r="K57" s="139"/>
      <c r="L57" s="40"/>
    </row>
    <row r="58" spans="1:16">
      <c r="A58" s="115" t="s">
        <v>123</v>
      </c>
      <c r="B58" s="114"/>
      <c r="C58" s="109"/>
      <c r="H58" s="109"/>
      <c r="I58" s="109"/>
      <c r="J58" s="109"/>
      <c r="K58" s="56"/>
      <c r="L58" s="140"/>
    </row>
    <row r="59" spans="1:16">
      <c r="A59" s="116" t="s">
        <v>84</v>
      </c>
      <c r="B59" s="117">
        <f>C4+C5</f>
        <v>7999.98</v>
      </c>
      <c r="C59" s="109"/>
      <c r="H59" s="109"/>
      <c r="I59" s="118"/>
      <c r="J59" s="109"/>
      <c r="K59" s="56"/>
      <c r="L59" s="111"/>
    </row>
    <row r="60" spans="1:16">
      <c r="A60" s="116" t="s">
        <v>85</v>
      </c>
      <c r="B60" s="117">
        <f>L17-L5-L4</f>
        <v>0</v>
      </c>
      <c r="C60" s="118"/>
      <c r="H60" s="109"/>
      <c r="I60" s="109"/>
      <c r="J60" s="109"/>
      <c r="K60" s="56"/>
      <c r="L60" s="140"/>
    </row>
    <row r="61" spans="1:16" ht="17.25">
      <c r="A61" s="116" t="s">
        <v>86</v>
      </c>
      <c r="B61" s="117">
        <f>L54</f>
        <v>0</v>
      </c>
      <c r="C61" s="109"/>
      <c r="H61" s="109"/>
      <c r="I61" s="141"/>
      <c r="J61" s="109"/>
      <c r="K61" s="56"/>
      <c r="L61" s="142"/>
    </row>
    <row r="62" spans="1:16" ht="17.25">
      <c r="A62" s="116" t="s">
        <v>87</v>
      </c>
      <c r="C62" s="119">
        <f>B59+B60-B61</f>
        <v>7999.98</v>
      </c>
      <c r="H62" s="109"/>
      <c r="I62" s="118"/>
      <c r="J62" s="109"/>
      <c r="K62" s="139"/>
      <c r="L62" s="140"/>
    </row>
    <row r="63" spans="1:16">
      <c r="A63" s="115" t="s">
        <v>124</v>
      </c>
      <c r="B63" s="117"/>
      <c r="C63" s="109"/>
      <c r="H63" s="109"/>
      <c r="I63" s="118"/>
      <c r="J63" s="109"/>
      <c r="K63" s="56"/>
      <c r="L63" s="140"/>
    </row>
    <row r="64" spans="1:16">
      <c r="A64" s="116" t="s">
        <v>89</v>
      </c>
      <c r="B64" s="117">
        <v>1542.72</v>
      </c>
      <c r="C64" s="109"/>
      <c r="D64" s="120"/>
      <c r="H64" s="109"/>
      <c r="I64" s="109"/>
      <c r="J64" s="109"/>
      <c r="K64" s="56"/>
      <c r="L64" s="140"/>
    </row>
    <row r="65" spans="1:12">
      <c r="A65" s="116" t="s">
        <v>90</v>
      </c>
      <c r="B65" s="117">
        <v>6042.53</v>
      </c>
      <c r="C65" s="109"/>
      <c r="D65" s="120"/>
      <c r="E65" s="45"/>
      <c r="H65" s="118"/>
      <c r="I65" s="109"/>
      <c r="J65" s="109"/>
      <c r="K65" s="56"/>
      <c r="L65" s="140"/>
    </row>
    <row r="66" spans="1:12" ht="17.25">
      <c r="A66" s="116" t="s">
        <v>91</v>
      </c>
      <c r="B66" s="117">
        <v>1156.77</v>
      </c>
      <c r="C66" s="109"/>
      <c r="D66" s="120"/>
      <c r="H66" s="109"/>
      <c r="I66" s="109"/>
      <c r="J66" s="109"/>
      <c r="K66" s="154"/>
      <c r="L66" s="142"/>
    </row>
    <row r="67" spans="1:12" ht="17.25">
      <c r="A67" s="143"/>
      <c r="B67" s="144">
        <f>SUM(B64:B66)</f>
        <v>8742.02</v>
      </c>
      <c r="H67" s="109"/>
      <c r="I67" s="109"/>
      <c r="J67" s="109"/>
      <c r="K67" s="109"/>
      <c r="L67" s="109"/>
    </row>
    <row r="68" spans="1:12">
      <c r="A68" s="48"/>
      <c r="B68" s="145"/>
      <c r="C68" s="146"/>
      <c r="D68" s="110"/>
      <c r="H68" s="109"/>
      <c r="I68" s="109"/>
      <c r="J68" s="109"/>
      <c r="K68" s="109"/>
      <c r="L68" s="109"/>
    </row>
    <row r="69" spans="1:12" ht="17.25">
      <c r="A69" s="116" t="s">
        <v>125</v>
      </c>
      <c r="B69" s="117">
        <v>0</v>
      </c>
      <c r="C69" s="147">
        <f>B67-B69</f>
        <v>8742.02</v>
      </c>
      <c r="D69" s="57"/>
      <c r="E69" s="116"/>
      <c r="F69" s="148"/>
      <c r="G69" s="149"/>
      <c r="H69" s="150"/>
      <c r="I69" s="109"/>
      <c r="J69" s="109"/>
      <c r="K69" s="109"/>
      <c r="L69" s="109"/>
    </row>
    <row r="70" spans="1:12" ht="30" customHeight="1">
      <c r="A70" s="151"/>
      <c r="C70" s="152"/>
      <c r="E70" s="145"/>
      <c r="F70" s="146"/>
      <c r="G70" s="110"/>
      <c r="H70" s="46"/>
    </row>
    <row r="71" spans="1:12">
      <c r="E71" s="153"/>
      <c r="F71" s="55"/>
      <c r="G71" s="152"/>
    </row>
    <row r="72" spans="1:12">
      <c r="F72" s="55"/>
    </row>
  </sheetData>
  <mergeCells count="14">
    <mergeCell ref="N18:O18"/>
    <mergeCell ref="A20:B20"/>
    <mergeCell ref="C55:E55"/>
    <mergeCell ref="F55:G55"/>
    <mergeCell ref="H55:I55"/>
    <mergeCell ref="J55:K55"/>
    <mergeCell ref="L55:M55"/>
    <mergeCell ref="A2:B2"/>
    <mergeCell ref="C2:D2"/>
    <mergeCell ref="F2:K2"/>
    <mergeCell ref="C18:E18"/>
    <mergeCell ref="F18:G18"/>
    <mergeCell ref="H18:I18"/>
    <mergeCell ref="J18:K18"/>
  </mergeCells>
  <pageMargins left="0.25" right="0.25" top="0.75" bottom="0.75" header="0.3" footer="0.3"/>
  <pageSetup paperSize="8" scale="6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71"/>
  <sheetViews>
    <sheetView zoomScale="90" zoomScaleNormal="90" workbookViewId="0">
      <selection activeCell="G28" sqref="G28"/>
    </sheetView>
  </sheetViews>
  <sheetFormatPr defaultColWidth="24.28515625" defaultRowHeight="15"/>
  <cols>
    <col min="1" max="1" width="57.7109375" customWidth="1"/>
    <col min="2" max="3" width="22.5703125" customWidth="1"/>
    <col min="4" max="4" width="21.42578125" customWidth="1"/>
    <col min="5" max="5" width="11.5703125" customWidth="1"/>
    <col min="6" max="6" width="11.28515625" customWidth="1"/>
    <col min="7" max="7" width="8.28515625" customWidth="1"/>
    <col min="8" max="8" width="9.5703125" customWidth="1"/>
    <col min="9" max="9" width="9.85546875" customWidth="1"/>
    <col min="10" max="10" width="8.42578125" customWidth="1"/>
    <col min="11" max="11" width="8.140625" customWidth="1"/>
    <col min="12" max="12" width="12.5703125" customWidth="1"/>
    <col min="13" max="13" width="22.5703125" customWidth="1"/>
    <col min="14" max="14" width="12.28515625" customWidth="1"/>
  </cols>
  <sheetData>
    <row r="1" spans="1:14">
      <c r="A1" s="1" t="s">
        <v>0</v>
      </c>
    </row>
    <row r="2" spans="1:14">
      <c r="A2" s="2" t="s">
        <v>126</v>
      </c>
      <c r="B2" s="2"/>
      <c r="C2" s="2"/>
      <c r="D2" s="2"/>
      <c r="F2" s="3"/>
      <c r="N2" s="2"/>
    </row>
    <row r="3" spans="1:14">
      <c r="A3" s="4" t="s">
        <v>4</v>
      </c>
      <c r="B3" s="5"/>
      <c r="C3" s="5"/>
      <c r="D3" s="5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105</v>
      </c>
      <c r="M3" s="8" t="s">
        <v>127</v>
      </c>
      <c r="N3" s="7" t="s">
        <v>128</v>
      </c>
    </row>
    <row r="4" spans="1:14">
      <c r="A4" s="10" t="s">
        <v>16</v>
      </c>
      <c r="B4" s="11"/>
      <c r="C4" s="11"/>
      <c r="D4" s="63">
        <f>8323.18</f>
        <v>8323.18</v>
      </c>
      <c r="E4" s="14"/>
      <c r="F4" s="14"/>
      <c r="G4" s="14"/>
      <c r="H4" s="14"/>
      <c r="I4" s="14"/>
      <c r="J4" s="14"/>
      <c r="K4" s="14"/>
      <c r="L4" s="84">
        <f>D4</f>
        <v>8323.18</v>
      </c>
      <c r="M4" s="50" t="s">
        <v>129</v>
      </c>
      <c r="N4" s="13">
        <v>11417.45</v>
      </c>
    </row>
    <row r="5" spans="1:14">
      <c r="A5" s="10" t="s">
        <v>19</v>
      </c>
      <c r="B5" s="11"/>
      <c r="C5" s="11"/>
      <c r="D5" s="63">
        <f>5051*1.015</f>
        <v>5126.7649999999994</v>
      </c>
      <c r="E5" s="17"/>
      <c r="F5" s="23" t="e">
        <f>#REF!+#REF!</f>
        <v>#REF!</v>
      </c>
      <c r="G5" s="23"/>
      <c r="H5" s="23"/>
      <c r="I5" s="23"/>
      <c r="J5" s="23"/>
      <c r="K5" s="23"/>
      <c r="L5" s="84" t="e">
        <f>SUM(E5:K5)</f>
        <v>#REF!</v>
      </c>
      <c r="M5" s="51"/>
      <c r="N5" s="16">
        <v>5051</v>
      </c>
    </row>
    <row r="6" spans="1:14">
      <c r="A6" s="19" t="s">
        <v>20</v>
      </c>
      <c r="B6" s="10"/>
      <c r="C6" s="10"/>
      <c r="D6" s="63">
        <v>520</v>
      </c>
      <c r="E6" s="23"/>
      <c r="F6" s="23"/>
      <c r="G6" s="23">
        <v>508</v>
      </c>
      <c r="H6" s="23"/>
      <c r="I6" s="23"/>
      <c r="J6" s="23"/>
      <c r="K6" s="23"/>
      <c r="L6" s="84">
        <f t="shared" ref="L6:L15" si="0">SUM(E6:K6)</f>
        <v>508</v>
      </c>
      <c r="M6" s="52"/>
      <c r="N6" s="16">
        <v>523</v>
      </c>
    </row>
    <row r="7" spans="1:14">
      <c r="A7" s="19" t="s">
        <v>21</v>
      </c>
      <c r="B7" s="10"/>
      <c r="C7" s="10"/>
      <c r="D7" s="63">
        <v>4</v>
      </c>
      <c r="E7" s="23"/>
      <c r="F7" s="23"/>
      <c r="G7" s="23">
        <v>1</v>
      </c>
      <c r="H7" s="23">
        <v>1</v>
      </c>
      <c r="I7" s="23"/>
      <c r="J7" s="23"/>
      <c r="K7" s="23"/>
      <c r="L7" s="84">
        <f t="shared" si="0"/>
        <v>2</v>
      </c>
      <c r="M7" s="52"/>
      <c r="N7" s="16">
        <v>4.17</v>
      </c>
    </row>
    <row r="8" spans="1:14">
      <c r="A8" s="19" t="s">
        <v>22</v>
      </c>
      <c r="B8" s="10"/>
      <c r="C8" s="10"/>
      <c r="D8" s="63">
        <v>102</v>
      </c>
      <c r="E8" s="23"/>
      <c r="F8" s="23"/>
      <c r="G8" s="23">
        <v>102.21</v>
      </c>
      <c r="H8" s="23"/>
      <c r="I8" s="23"/>
      <c r="J8" s="23"/>
      <c r="K8" s="23"/>
      <c r="L8" s="84">
        <f t="shared" si="0"/>
        <v>102.21</v>
      </c>
      <c r="M8" s="52"/>
      <c r="N8" s="16">
        <v>101.05</v>
      </c>
    </row>
    <row r="9" spans="1:14">
      <c r="A9" s="19" t="s">
        <v>23</v>
      </c>
      <c r="B9" s="10"/>
      <c r="C9" s="10"/>
      <c r="D9" s="64">
        <v>0</v>
      </c>
      <c r="E9" s="23"/>
      <c r="F9" s="23"/>
      <c r="G9" s="23"/>
      <c r="H9" s="23">
        <v>500</v>
      </c>
      <c r="I9" s="23"/>
      <c r="J9" s="23"/>
      <c r="K9" s="23"/>
      <c r="L9" s="84">
        <f t="shared" si="0"/>
        <v>500</v>
      </c>
      <c r="M9" s="52"/>
      <c r="N9" s="16">
        <v>3855</v>
      </c>
    </row>
    <row r="10" spans="1:14">
      <c r="A10" s="19" t="s">
        <v>24</v>
      </c>
      <c r="B10" s="10"/>
      <c r="C10" s="10"/>
      <c r="D10" s="64">
        <v>0</v>
      </c>
      <c r="E10" s="23"/>
      <c r="F10" s="23"/>
      <c r="G10" s="23"/>
      <c r="H10" s="23"/>
      <c r="I10" s="23"/>
      <c r="J10" s="23"/>
      <c r="K10" s="23"/>
      <c r="L10" s="84">
        <f t="shared" si="0"/>
        <v>0</v>
      </c>
      <c r="M10" s="52"/>
      <c r="N10" s="16">
        <v>0</v>
      </c>
    </row>
    <row r="11" spans="1:14">
      <c r="A11" s="19" t="s">
        <v>25</v>
      </c>
      <c r="B11" s="10"/>
      <c r="C11" s="10"/>
      <c r="D11" s="64"/>
      <c r="E11" s="23"/>
      <c r="F11" s="23"/>
      <c r="G11" s="23"/>
      <c r="H11" s="23"/>
      <c r="I11" s="23"/>
      <c r="J11" s="23"/>
      <c r="K11" s="23"/>
      <c r="L11" s="84">
        <f t="shared" si="0"/>
        <v>0</v>
      </c>
      <c r="M11" s="52"/>
      <c r="N11" s="16"/>
    </row>
    <row r="12" spans="1:14">
      <c r="A12" s="20" t="s">
        <v>26</v>
      </c>
      <c r="B12" s="10"/>
      <c r="C12" s="10"/>
      <c r="D12" s="64"/>
      <c r="E12" s="23"/>
      <c r="F12" s="23"/>
      <c r="G12" s="23"/>
      <c r="H12" s="23"/>
      <c r="I12" s="23"/>
      <c r="J12" s="23"/>
      <c r="K12" s="23"/>
      <c r="L12" s="84">
        <f t="shared" si="0"/>
        <v>0</v>
      </c>
      <c r="M12" s="52"/>
      <c r="N12" s="16">
        <v>455.28</v>
      </c>
    </row>
    <row r="13" spans="1:14">
      <c r="A13" s="20" t="s">
        <v>27</v>
      </c>
      <c r="B13" s="21"/>
      <c r="C13" s="21"/>
      <c r="D13" s="64"/>
      <c r="E13" s="23"/>
      <c r="F13" s="65"/>
      <c r="G13" s="23"/>
      <c r="H13" s="23">
        <f>7.5+20</f>
        <v>27.5</v>
      </c>
      <c r="I13" s="23"/>
      <c r="J13" s="23"/>
      <c r="K13" s="23"/>
      <c r="L13" s="84">
        <f t="shared" si="0"/>
        <v>27.5</v>
      </c>
      <c r="M13" s="52"/>
      <c r="N13" s="16">
        <v>5</v>
      </c>
    </row>
    <row r="14" spans="1:14">
      <c r="A14" s="20" t="s">
        <v>28</v>
      </c>
      <c r="B14" s="21"/>
      <c r="C14" s="21"/>
      <c r="D14" s="64"/>
      <c r="E14" s="23"/>
      <c r="F14" s="65"/>
      <c r="G14" s="23"/>
      <c r="H14" s="23">
        <f>23*5</f>
        <v>115</v>
      </c>
      <c r="I14" s="23"/>
      <c r="J14" s="23"/>
      <c r="K14" s="23"/>
      <c r="L14" s="84">
        <f t="shared" si="0"/>
        <v>115</v>
      </c>
      <c r="M14" s="52"/>
      <c r="N14" s="16">
        <v>748.07</v>
      </c>
    </row>
    <row r="15" spans="1:14" ht="17.25">
      <c r="A15" s="24" t="s">
        <v>29</v>
      </c>
      <c r="B15" s="10" t="s">
        <v>30</v>
      </c>
      <c r="C15" s="10"/>
      <c r="D15" s="64"/>
      <c r="E15" s="23"/>
      <c r="F15" s="66"/>
      <c r="G15" s="23"/>
      <c r="H15" s="23"/>
      <c r="I15" s="23"/>
      <c r="J15" s="23"/>
      <c r="K15" s="23"/>
      <c r="L15" s="84">
        <f t="shared" si="0"/>
        <v>0</v>
      </c>
      <c r="M15" s="52"/>
      <c r="N15" s="16">
        <v>794.15</v>
      </c>
    </row>
    <row r="16" spans="1:14">
      <c r="A16" s="26" t="s">
        <v>31</v>
      </c>
      <c r="B16" s="27"/>
      <c r="C16" s="27"/>
      <c r="D16" s="67">
        <f>SUM(D4:D15)</f>
        <v>14075.945</v>
      </c>
      <c r="E16" s="30">
        <f t="shared" ref="E16:K16" si="1">SUM(E5:E15)</f>
        <v>0</v>
      </c>
      <c r="F16" s="30" t="e">
        <f t="shared" si="1"/>
        <v>#REF!</v>
      </c>
      <c r="G16" s="30">
        <f t="shared" si="1"/>
        <v>611.21</v>
      </c>
      <c r="H16" s="30">
        <f t="shared" si="1"/>
        <v>643.5</v>
      </c>
      <c r="I16" s="30">
        <f t="shared" si="1"/>
        <v>0</v>
      </c>
      <c r="J16" s="30">
        <f t="shared" si="1"/>
        <v>0</v>
      </c>
      <c r="K16" s="30">
        <f t="shared" si="1"/>
        <v>0</v>
      </c>
      <c r="L16" s="12" t="e">
        <f>SUM(L4:L15)</f>
        <v>#REF!</v>
      </c>
      <c r="M16" s="50" t="s">
        <v>129</v>
      </c>
      <c r="N16" s="29">
        <f>SUM(N4:N15)</f>
        <v>22954.17</v>
      </c>
    </row>
    <row r="17" spans="1:15">
      <c r="A17" s="19"/>
      <c r="B17" s="10"/>
      <c r="C17" s="10"/>
      <c r="D17" s="64"/>
      <c r="E17" s="18"/>
      <c r="F17" s="18"/>
      <c r="G17" s="18"/>
      <c r="H17" s="18"/>
      <c r="I17" s="18"/>
      <c r="J17" s="18"/>
      <c r="K17" s="18"/>
      <c r="L17" s="18"/>
      <c r="M17" s="52"/>
      <c r="N17" s="16"/>
      <c r="O17" s="42"/>
    </row>
    <row r="18" spans="1:15">
      <c r="A18" s="204" t="s">
        <v>33</v>
      </c>
      <c r="B18" s="205"/>
      <c r="C18" s="31" t="s">
        <v>130</v>
      </c>
      <c r="D18" s="68"/>
      <c r="E18" s="55"/>
      <c r="F18" s="23"/>
      <c r="G18" s="23"/>
      <c r="H18" s="23"/>
      <c r="I18" s="23"/>
      <c r="J18" s="23"/>
      <c r="K18" s="23"/>
      <c r="L18" s="18"/>
      <c r="M18" s="53"/>
      <c r="N18" s="16"/>
    </row>
    <row r="19" spans="1:15">
      <c r="A19" s="10" t="s">
        <v>36</v>
      </c>
      <c r="B19" s="10" t="s">
        <v>37</v>
      </c>
      <c r="C19" s="69"/>
      <c r="D19" s="63">
        <v>128</v>
      </c>
      <c r="E19" s="23"/>
      <c r="F19" s="23">
        <f>130</f>
        <v>130</v>
      </c>
      <c r="G19" s="23"/>
      <c r="H19" s="23"/>
      <c r="I19" s="23"/>
      <c r="J19" s="23"/>
      <c r="K19" s="23"/>
      <c r="L19" s="84">
        <f>SUM(E19:K19)</f>
        <v>130</v>
      </c>
      <c r="M19" s="53"/>
      <c r="N19" s="16">
        <v>126</v>
      </c>
    </row>
    <row r="20" spans="1:15" ht="17.25">
      <c r="A20" s="19" t="s">
        <v>38</v>
      </c>
      <c r="B20" s="10" t="s">
        <v>39</v>
      </c>
      <c r="C20" s="69">
        <v>250</v>
      </c>
      <c r="D20" s="63">
        <v>250</v>
      </c>
      <c r="E20" s="23"/>
      <c r="F20" s="70"/>
      <c r="G20" s="23"/>
      <c r="H20" s="71"/>
      <c r="I20" s="71"/>
      <c r="J20" s="71"/>
      <c r="K20" s="74">
        <v>250</v>
      </c>
      <c r="L20" s="84">
        <f t="shared" ref="L20:L55" si="2">SUM(E20:K20)</f>
        <v>250</v>
      </c>
      <c r="M20" s="53"/>
      <c r="N20" s="16">
        <v>0</v>
      </c>
    </row>
    <row r="21" spans="1:15" ht="17.25">
      <c r="A21" s="19"/>
      <c r="B21" s="10" t="s">
        <v>131</v>
      </c>
      <c r="C21" s="69"/>
      <c r="D21" s="63">
        <v>0</v>
      </c>
      <c r="E21" s="23"/>
      <c r="F21" s="70"/>
      <c r="G21" s="23"/>
      <c r="H21" s="23"/>
      <c r="I21" s="23"/>
      <c r="J21" s="23"/>
      <c r="K21" s="23"/>
      <c r="L21" s="84">
        <f t="shared" si="2"/>
        <v>0</v>
      </c>
      <c r="M21" s="53"/>
      <c r="N21" s="16">
        <v>0</v>
      </c>
    </row>
    <row r="22" spans="1:15" ht="17.25">
      <c r="A22" s="19"/>
      <c r="B22" s="10" t="s">
        <v>132</v>
      </c>
      <c r="C22" s="69"/>
      <c r="D22" s="63">
        <v>0</v>
      </c>
      <c r="E22" s="23"/>
      <c r="F22" s="70"/>
      <c r="G22" s="23"/>
      <c r="H22" s="23"/>
      <c r="I22" s="23"/>
      <c r="J22" s="23"/>
      <c r="K22" s="23"/>
      <c r="L22" s="84">
        <f t="shared" si="2"/>
        <v>0</v>
      </c>
      <c r="M22" s="53"/>
      <c r="N22" s="16">
        <v>3855</v>
      </c>
    </row>
    <row r="23" spans="1:15" ht="17.25">
      <c r="A23" s="19"/>
      <c r="B23" s="10" t="s">
        <v>133</v>
      </c>
      <c r="C23" s="69"/>
      <c r="D23" s="63">
        <v>0</v>
      </c>
      <c r="E23" s="23"/>
      <c r="F23" s="70"/>
      <c r="G23" s="23"/>
      <c r="H23" s="23"/>
      <c r="I23" s="23"/>
      <c r="J23" s="23"/>
      <c r="K23" s="23"/>
      <c r="L23" s="84">
        <f t="shared" si="2"/>
        <v>0</v>
      </c>
      <c r="M23" s="53"/>
      <c r="N23" s="16">
        <v>0</v>
      </c>
    </row>
    <row r="24" spans="1:15" ht="17.25">
      <c r="A24" s="19"/>
      <c r="B24" s="10" t="s">
        <v>41</v>
      </c>
      <c r="C24" s="69">
        <v>0</v>
      </c>
      <c r="D24" s="63">
        <v>0</v>
      </c>
      <c r="E24" s="23"/>
      <c r="F24" s="70"/>
      <c r="G24" s="23"/>
      <c r="I24" s="74">
        <v>500</v>
      </c>
      <c r="J24" s="71"/>
      <c r="K24" s="71"/>
      <c r="L24" s="84">
        <f t="shared" si="2"/>
        <v>500</v>
      </c>
      <c r="M24" s="53"/>
      <c r="N24" s="16">
        <v>1325</v>
      </c>
    </row>
    <row r="25" spans="1:15">
      <c r="A25" s="19" t="s">
        <v>42</v>
      </c>
      <c r="B25" s="10" t="s">
        <v>43</v>
      </c>
      <c r="C25" s="69">
        <v>250</v>
      </c>
      <c r="D25" s="63">
        <v>300</v>
      </c>
      <c r="E25" s="35"/>
      <c r="F25" s="23"/>
      <c r="G25" s="23"/>
      <c r="I25" s="71"/>
      <c r="J25" s="74">
        <v>300</v>
      </c>
      <c r="K25" s="71"/>
      <c r="L25" s="84">
        <f t="shared" si="2"/>
        <v>300</v>
      </c>
      <c r="M25" s="53"/>
      <c r="N25" s="16">
        <v>350</v>
      </c>
    </row>
    <row r="26" spans="1:15">
      <c r="A26" s="19"/>
      <c r="B26" s="10" t="s">
        <v>44</v>
      </c>
      <c r="C26" s="69">
        <v>50</v>
      </c>
      <c r="D26" s="63">
        <v>50</v>
      </c>
      <c r="E26" s="35"/>
      <c r="F26" s="23"/>
      <c r="G26" s="23"/>
      <c r="I26" s="74">
        <v>50</v>
      </c>
      <c r="J26" s="71"/>
      <c r="K26" s="71"/>
      <c r="L26" s="84">
        <f t="shared" si="2"/>
        <v>50</v>
      </c>
      <c r="M26" s="53"/>
      <c r="N26" s="16">
        <v>350</v>
      </c>
    </row>
    <row r="27" spans="1:15">
      <c r="A27" s="19"/>
      <c r="B27" s="10" t="s">
        <v>45</v>
      </c>
      <c r="C27" s="69">
        <v>175</v>
      </c>
      <c r="D27" s="63">
        <v>200</v>
      </c>
      <c r="E27" s="35"/>
      <c r="F27" s="23"/>
      <c r="G27" s="23"/>
      <c r="I27" s="71"/>
      <c r="J27" s="74">
        <v>200</v>
      </c>
      <c r="K27" s="71"/>
      <c r="L27" s="84">
        <f t="shared" si="2"/>
        <v>200</v>
      </c>
      <c r="M27" s="53"/>
      <c r="N27" s="16">
        <v>200</v>
      </c>
    </row>
    <row r="28" spans="1:15">
      <c r="A28" s="19"/>
      <c r="B28" s="10" t="s">
        <v>46</v>
      </c>
      <c r="C28" s="69">
        <v>100</v>
      </c>
      <c r="D28" s="63">
        <v>100</v>
      </c>
      <c r="E28" s="35"/>
      <c r="F28" s="23"/>
      <c r="G28" s="23">
        <v>100</v>
      </c>
      <c r="H28" s="71"/>
      <c r="I28" s="71"/>
      <c r="J28" s="71"/>
      <c r="K28" s="71"/>
      <c r="L28" s="84">
        <f t="shared" si="2"/>
        <v>100</v>
      </c>
      <c r="M28" s="53"/>
      <c r="N28" s="16">
        <v>50</v>
      </c>
    </row>
    <row r="29" spans="1:15">
      <c r="A29" s="19"/>
      <c r="B29" s="10" t="s">
        <v>47</v>
      </c>
      <c r="C29" s="69">
        <v>0</v>
      </c>
      <c r="D29" s="63">
        <v>200</v>
      </c>
      <c r="E29" s="35"/>
      <c r="F29" s="23"/>
      <c r="G29" s="23"/>
      <c r="H29" s="71"/>
      <c r="I29" s="71"/>
      <c r="J29" s="71"/>
      <c r="K29" s="74">
        <v>200</v>
      </c>
      <c r="L29" s="84">
        <f t="shared" si="2"/>
        <v>200</v>
      </c>
      <c r="M29" s="53"/>
      <c r="N29" s="16">
        <v>0</v>
      </c>
    </row>
    <row r="30" spans="1:15">
      <c r="A30" s="10" t="s">
        <v>48</v>
      </c>
      <c r="B30" s="10" t="s">
        <v>49</v>
      </c>
      <c r="C30" s="69"/>
      <c r="D30" s="63">
        <v>330</v>
      </c>
      <c r="E30" s="35"/>
      <c r="F30" s="23" t="e">
        <f>#REF!</f>
        <v>#REF!</v>
      </c>
      <c r="G30" s="23"/>
      <c r="H30" s="23"/>
      <c r="I30" s="23"/>
      <c r="J30" s="23"/>
      <c r="K30" s="23"/>
      <c r="L30" s="84" t="e">
        <f t="shared" si="2"/>
        <v>#REF!</v>
      </c>
      <c r="M30" s="53"/>
      <c r="N30" s="16">
        <v>309.82</v>
      </c>
    </row>
    <row r="31" spans="1:15">
      <c r="A31" s="10"/>
      <c r="B31" s="10" t="s">
        <v>50</v>
      </c>
      <c r="C31" s="69">
        <v>481</v>
      </c>
      <c r="D31" s="63">
        <f>423+31</f>
        <v>454</v>
      </c>
      <c r="E31" s="35"/>
      <c r="F31" s="23" t="e">
        <f>#REF!</f>
        <v>#REF!</v>
      </c>
      <c r="G31" s="23"/>
      <c r="H31" s="23"/>
      <c r="I31" s="23"/>
      <c r="J31" s="23"/>
      <c r="K31" s="23"/>
      <c r="L31" s="84" t="e">
        <f t="shared" si="2"/>
        <v>#REF!</v>
      </c>
      <c r="M31" s="53"/>
      <c r="N31" s="16">
        <v>423.07</v>
      </c>
    </row>
    <row r="32" spans="1:15">
      <c r="A32" s="10"/>
      <c r="B32" s="10" t="s">
        <v>29</v>
      </c>
      <c r="C32" s="72">
        <v>172</v>
      </c>
      <c r="D32" s="63">
        <f>151+5</f>
        <v>156</v>
      </c>
      <c r="E32" s="35"/>
      <c r="F32" s="23" t="e">
        <f>#REF!</f>
        <v>#REF!</v>
      </c>
      <c r="G32" s="23"/>
      <c r="H32" s="23"/>
      <c r="I32" s="23"/>
      <c r="J32" s="23"/>
      <c r="K32" s="23"/>
      <c r="L32" s="84" t="e">
        <f t="shared" si="2"/>
        <v>#REF!</v>
      </c>
      <c r="M32" s="53"/>
      <c r="N32" s="16">
        <v>150.52000000000001</v>
      </c>
    </row>
    <row r="33" spans="1:14">
      <c r="A33" s="10" t="s">
        <v>51</v>
      </c>
      <c r="B33" s="10" t="s">
        <v>52</v>
      </c>
      <c r="C33" s="69"/>
      <c r="D33" s="63">
        <v>1823</v>
      </c>
      <c r="E33" s="35"/>
      <c r="F33" s="23" t="e">
        <f>#REF!</f>
        <v>#REF!</v>
      </c>
      <c r="G33" s="23">
        <v>250</v>
      </c>
      <c r="H33" s="73">
        <v>418</v>
      </c>
      <c r="I33" s="73">
        <f>153*2</f>
        <v>306</v>
      </c>
      <c r="J33" s="74">
        <v>306</v>
      </c>
      <c r="K33" s="71"/>
      <c r="L33" s="84" t="e">
        <f t="shared" si="2"/>
        <v>#REF!</v>
      </c>
      <c r="M33" s="54"/>
      <c r="N33" s="16">
        <v>625</v>
      </c>
    </row>
    <row r="34" spans="1:14">
      <c r="A34" s="19"/>
      <c r="B34" s="10" t="s">
        <v>53</v>
      </c>
      <c r="C34" s="69"/>
      <c r="D34" s="63">
        <v>60</v>
      </c>
      <c r="E34" s="35"/>
      <c r="F34" s="23">
        <f>59.95</f>
        <v>59.95</v>
      </c>
      <c r="G34" s="23"/>
      <c r="H34" s="23"/>
      <c r="I34" s="23"/>
      <c r="J34" s="23"/>
      <c r="K34" s="23"/>
      <c r="L34" s="84">
        <f t="shared" si="2"/>
        <v>59.95</v>
      </c>
      <c r="M34" s="54"/>
      <c r="N34" s="16">
        <v>59.95</v>
      </c>
    </row>
    <row r="35" spans="1:14">
      <c r="A35" s="10"/>
      <c r="B35" s="10" t="s">
        <v>54</v>
      </c>
      <c r="D35" s="63">
        <v>100</v>
      </c>
      <c r="E35" s="35"/>
      <c r="F35" s="23"/>
      <c r="G35" s="23" t="e">
        <f>#REF!</f>
        <v>#REF!</v>
      </c>
      <c r="H35" s="74">
        <v>100</v>
      </c>
      <c r="I35" s="74">
        <v>60</v>
      </c>
      <c r="J35" s="71"/>
      <c r="K35" s="71"/>
      <c r="L35" s="84" t="e">
        <f t="shared" si="2"/>
        <v>#REF!</v>
      </c>
      <c r="M35" s="54"/>
      <c r="N35" s="16">
        <v>230.95</v>
      </c>
    </row>
    <row r="36" spans="1:14">
      <c r="A36" s="10"/>
      <c r="B36" s="10" t="s">
        <v>55</v>
      </c>
      <c r="C36" s="69"/>
      <c r="D36" s="63">
        <v>0</v>
      </c>
      <c r="E36" s="35"/>
      <c r="F36" s="23"/>
      <c r="G36" s="23"/>
      <c r="H36" s="23"/>
      <c r="I36" s="23"/>
      <c r="J36" s="23"/>
      <c r="K36" s="23"/>
      <c r="L36" s="84">
        <f t="shared" si="2"/>
        <v>0</v>
      </c>
      <c r="M36" s="54"/>
      <c r="N36" s="16">
        <v>600</v>
      </c>
    </row>
    <row r="37" spans="1:14">
      <c r="A37" s="19"/>
      <c r="B37" s="10" t="s">
        <v>56</v>
      </c>
      <c r="C37" s="75">
        <v>355</v>
      </c>
      <c r="D37" s="63">
        <v>355</v>
      </c>
      <c r="E37" s="35"/>
      <c r="F37" s="23"/>
      <c r="G37" s="23"/>
      <c r="H37" s="71"/>
      <c r="I37" s="71"/>
      <c r="J37" s="71"/>
      <c r="K37" s="74">
        <v>355</v>
      </c>
      <c r="L37" s="84">
        <f t="shared" si="2"/>
        <v>355</v>
      </c>
      <c r="M37" s="54"/>
      <c r="N37" s="16">
        <v>1755</v>
      </c>
    </row>
    <row r="38" spans="1:14">
      <c r="A38" s="10" t="s">
        <v>57</v>
      </c>
      <c r="B38" s="10" t="s">
        <v>58</v>
      </c>
      <c r="C38" s="69"/>
      <c r="D38" s="63">
        <v>1883</v>
      </c>
      <c r="E38" s="17">
        <v>158.01</v>
      </c>
      <c r="F38" s="23" t="e">
        <f>#REF!</f>
        <v>#REF!</v>
      </c>
      <c r="G38" s="23"/>
      <c r="H38" s="73">
        <v>379.22</v>
      </c>
      <c r="I38" s="71"/>
      <c r="J38" s="74">
        <v>379.22</v>
      </c>
      <c r="K38" s="74">
        <v>379.22</v>
      </c>
      <c r="L38" s="84" t="e">
        <f t="shared" si="2"/>
        <v>#REF!</v>
      </c>
      <c r="M38" s="54"/>
      <c r="N38" s="16">
        <v>1876.43</v>
      </c>
    </row>
    <row r="39" spans="1:14">
      <c r="A39" s="19"/>
      <c r="B39" s="10" t="s">
        <v>59</v>
      </c>
      <c r="C39" s="69"/>
      <c r="D39" s="63">
        <v>80</v>
      </c>
      <c r="E39" s="35"/>
      <c r="F39" s="23"/>
      <c r="G39" s="23"/>
      <c r="H39" s="74">
        <v>40</v>
      </c>
      <c r="I39" s="71"/>
      <c r="J39" s="71"/>
      <c r="K39" s="74">
        <v>40</v>
      </c>
      <c r="L39" s="84">
        <f t="shared" si="2"/>
        <v>80</v>
      </c>
      <c r="M39" s="53"/>
      <c r="N39" s="16">
        <v>80</v>
      </c>
    </row>
    <row r="40" spans="1:14">
      <c r="A40" s="19" t="s">
        <v>60</v>
      </c>
      <c r="B40" s="10" t="s">
        <v>61</v>
      </c>
      <c r="C40" s="69"/>
      <c r="D40" s="63">
        <v>0</v>
      </c>
      <c r="E40" s="35"/>
      <c r="F40" s="23" t="e">
        <f>#REF!</f>
        <v>#REF!</v>
      </c>
      <c r="G40" s="23"/>
      <c r="H40" s="73">
        <v>94.81</v>
      </c>
      <c r="I40" s="71"/>
      <c r="J40" s="74">
        <v>94.81</v>
      </c>
      <c r="K40" s="74">
        <v>94.81</v>
      </c>
      <c r="L40" s="84" t="e">
        <f t="shared" si="2"/>
        <v>#REF!</v>
      </c>
      <c r="M40" s="53"/>
      <c r="N40" s="16"/>
    </row>
    <row r="41" spans="1:14">
      <c r="A41" s="10" t="s">
        <v>62</v>
      </c>
      <c r="B41" s="10" t="s">
        <v>63</v>
      </c>
      <c r="C41" s="69"/>
      <c r="D41" s="63">
        <v>100</v>
      </c>
      <c r="E41" s="35"/>
      <c r="F41" s="23"/>
      <c r="G41" s="23">
        <v>100</v>
      </c>
      <c r="H41" s="23"/>
      <c r="I41" s="23"/>
      <c r="J41" s="23"/>
      <c r="K41" s="23"/>
      <c r="L41" s="84">
        <f t="shared" si="2"/>
        <v>100</v>
      </c>
      <c r="M41" s="53"/>
      <c r="N41" s="16">
        <v>100</v>
      </c>
    </row>
    <row r="42" spans="1:14">
      <c r="A42" s="10"/>
      <c r="B42" s="10" t="s">
        <v>64</v>
      </c>
      <c r="C42" s="69"/>
      <c r="D42" s="63">
        <v>100</v>
      </c>
      <c r="E42" s="35"/>
      <c r="F42" s="23" t="e">
        <f>1.24+6.48+13.41+3.47+#REF!</f>
        <v>#REF!</v>
      </c>
      <c r="G42" s="23">
        <v>15</v>
      </c>
      <c r="H42" s="76"/>
      <c r="I42" s="74"/>
      <c r="J42" s="76"/>
      <c r="K42" s="76">
        <v>54</v>
      </c>
      <c r="L42" s="84" t="e">
        <f t="shared" si="2"/>
        <v>#REF!</v>
      </c>
      <c r="M42" s="53"/>
      <c r="N42" s="16">
        <v>18.91</v>
      </c>
    </row>
    <row r="43" spans="1:14">
      <c r="A43" s="10"/>
      <c r="B43" s="10" t="s">
        <v>24</v>
      </c>
      <c r="C43" s="69">
        <v>0</v>
      </c>
      <c r="D43" s="63">
        <v>75</v>
      </c>
      <c r="E43" s="35"/>
      <c r="F43" s="23"/>
      <c r="G43" s="23"/>
      <c r="H43" s="74"/>
      <c r="I43" s="74"/>
      <c r="J43" s="74"/>
      <c r="K43" s="74">
        <v>150</v>
      </c>
      <c r="L43" s="84">
        <f t="shared" si="2"/>
        <v>150</v>
      </c>
      <c r="M43" s="53"/>
      <c r="N43" s="16">
        <v>30</v>
      </c>
    </row>
    <row r="44" spans="1:14">
      <c r="A44" s="10" t="s">
        <v>65</v>
      </c>
      <c r="B44" s="10" t="s">
        <v>66</v>
      </c>
      <c r="C44" s="69"/>
      <c r="D44" s="63">
        <v>80</v>
      </c>
      <c r="E44" s="35"/>
      <c r="F44" s="23">
        <v>36.49</v>
      </c>
      <c r="G44" s="23"/>
      <c r="I44" s="74">
        <v>36</v>
      </c>
      <c r="J44" s="74"/>
      <c r="K44" s="74">
        <v>8</v>
      </c>
      <c r="L44" s="84">
        <f t="shared" si="2"/>
        <v>80.490000000000009</v>
      </c>
      <c r="M44" s="53"/>
      <c r="N44" s="16">
        <v>32.06</v>
      </c>
    </row>
    <row r="45" spans="1:14">
      <c r="A45" s="10"/>
      <c r="B45" s="10" t="s">
        <v>67</v>
      </c>
      <c r="C45" s="69"/>
      <c r="D45" s="63">
        <v>0</v>
      </c>
      <c r="E45" s="35"/>
      <c r="F45" s="23"/>
      <c r="G45" s="23"/>
      <c r="H45" s="23"/>
      <c r="I45" s="23"/>
      <c r="J45" s="23"/>
      <c r="K45" s="23"/>
      <c r="L45" s="84">
        <f t="shared" si="2"/>
        <v>0</v>
      </c>
      <c r="M45" s="53"/>
      <c r="N45" s="16">
        <v>99.99</v>
      </c>
    </row>
    <row r="46" spans="1:14">
      <c r="A46" s="10" t="s">
        <v>68</v>
      </c>
      <c r="B46" s="20"/>
      <c r="C46" s="77"/>
      <c r="D46" s="78">
        <v>105</v>
      </c>
      <c r="E46" s="35"/>
      <c r="F46" s="23">
        <v>14</v>
      </c>
      <c r="G46" s="23"/>
      <c r="I46" s="74">
        <v>14</v>
      </c>
      <c r="J46" s="74">
        <v>14</v>
      </c>
      <c r="K46" s="74">
        <v>14</v>
      </c>
      <c r="L46" s="84">
        <f t="shared" si="2"/>
        <v>56</v>
      </c>
      <c r="M46" s="53"/>
      <c r="N46" s="16">
        <v>42</v>
      </c>
    </row>
    <row r="47" spans="1:14">
      <c r="A47" s="10" t="s">
        <v>69</v>
      </c>
      <c r="B47" s="10"/>
      <c r="D47" s="63">
        <f>80*4</f>
        <v>320</v>
      </c>
      <c r="E47" s="35"/>
      <c r="F47" s="23"/>
      <c r="G47" s="23">
        <f>79.94</f>
        <v>79.94</v>
      </c>
      <c r="H47" s="74">
        <v>80</v>
      </c>
      <c r="I47" s="71"/>
      <c r="J47" s="74">
        <v>80</v>
      </c>
      <c r="K47" s="74">
        <v>80</v>
      </c>
      <c r="L47" s="84">
        <f t="shared" si="2"/>
        <v>319.94</v>
      </c>
      <c r="M47" s="53"/>
      <c r="N47" s="16">
        <v>287.02999999999997</v>
      </c>
    </row>
    <row r="48" spans="1:14">
      <c r="A48" s="10" t="s">
        <v>70</v>
      </c>
      <c r="B48" s="10" t="s">
        <v>71</v>
      </c>
      <c r="C48" s="69"/>
      <c r="D48" s="63">
        <v>500</v>
      </c>
      <c r="E48" s="35"/>
      <c r="F48" s="23"/>
      <c r="G48" s="23"/>
      <c r="H48" s="71"/>
      <c r="I48" s="71"/>
      <c r="J48" s="71"/>
      <c r="K48" s="74">
        <v>500</v>
      </c>
      <c r="L48" s="84">
        <f t="shared" si="2"/>
        <v>500</v>
      </c>
      <c r="M48" s="53"/>
      <c r="N48" s="16">
        <v>669</v>
      </c>
    </row>
    <row r="49" spans="1:14">
      <c r="A49" s="10" t="s">
        <v>72</v>
      </c>
      <c r="B49" s="10"/>
      <c r="C49" s="69"/>
      <c r="D49" s="63">
        <v>35</v>
      </c>
      <c r="E49" s="35"/>
      <c r="F49" s="23"/>
      <c r="G49" s="23">
        <v>35</v>
      </c>
      <c r="H49" s="23"/>
      <c r="I49" s="23"/>
      <c r="J49" s="23"/>
      <c r="K49" s="23"/>
      <c r="L49" s="84">
        <f t="shared" si="2"/>
        <v>35</v>
      </c>
      <c r="M49" s="53"/>
      <c r="N49" s="16">
        <v>35</v>
      </c>
    </row>
    <row r="50" spans="1:14">
      <c r="A50" s="10" t="s">
        <v>73</v>
      </c>
      <c r="B50" s="10" t="s">
        <v>74</v>
      </c>
      <c r="C50" s="69"/>
      <c r="D50" s="63">
        <v>100</v>
      </c>
      <c r="E50" s="35"/>
      <c r="F50" s="23"/>
      <c r="G50" s="23"/>
      <c r="H50" s="74">
        <v>100</v>
      </c>
      <c r="I50" s="71"/>
      <c r="J50" s="71"/>
      <c r="K50" s="75"/>
      <c r="L50" s="84">
        <f>SUM(E50:J50)</f>
        <v>100</v>
      </c>
      <c r="M50" s="53"/>
      <c r="N50" s="16">
        <v>78.069999999999993</v>
      </c>
    </row>
    <row r="51" spans="1:14">
      <c r="A51" s="24" t="s">
        <v>26</v>
      </c>
      <c r="B51" s="24" t="s">
        <v>75</v>
      </c>
      <c r="C51" s="79"/>
      <c r="D51" s="78">
        <v>0</v>
      </c>
      <c r="E51" s="35"/>
      <c r="F51" s="23" t="e">
        <f>#REF!+#REF!</f>
        <v>#REF!</v>
      </c>
      <c r="G51" s="23" t="e">
        <f>#REF!+#REF!+#REF!</f>
        <v>#REF!</v>
      </c>
      <c r="H51" s="74">
        <v>83.6</v>
      </c>
      <c r="I51" s="74">
        <f>30.6*2</f>
        <v>61.2</v>
      </c>
      <c r="J51" s="74">
        <f>30.6*2</f>
        <v>61.2</v>
      </c>
      <c r="K51" s="74"/>
      <c r="L51" s="84" t="e">
        <f t="shared" si="2"/>
        <v>#REF!</v>
      </c>
      <c r="M51" s="53"/>
      <c r="N51" s="16">
        <v>466.35</v>
      </c>
    </row>
    <row r="52" spans="1:14">
      <c r="A52" s="24" t="s">
        <v>76</v>
      </c>
      <c r="B52" s="24"/>
      <c r="C52" s="79"/>
      <c r="D52" s="78">
        <v>0</v>
      </c>
      <c r="E52" s="35"/>
      <c r="F52" s="23"/>
      <c r="G52" s="23"/>
      <c r="H52" s="76">
        <v>239</v>
      </c>
      <c r="I52" s="71"/>
      <c r="J52" s="71"/>
      <c r="K52" s="71"/>
      <c r="L52" s="84">
        <f t="shared" si="2"/>
        <v>239</v>
      </c>
      <c r="M52" s="53"/>
      <c r="N52" s="16">
        <v>0</v>
      </c>
    </row>
    <row r="53" spans="1:14">
      <c r="A53" s="24" t="s">
        <v>77</v>
      </c>
      <c r="B53" s="24" t="s">
        <v>78</v>
      </c>
      <c r="C53" s="79">
        <v>0</v>
      </c>
      <c r="D53" s="78">
        <v>12</v>
      </c>
      <c r="E53" s="35"/>
      <c r="F53" s="23"/>
      <c r="G53" s="23"/>
      <c r="H53" s="71"/>
      <c r="I53" s="71"/>
      <c r="J53" s="71"/>
      <c r="K53" s="74">
        <v>12</v>
      </c>
      <c r="L53" s="84">
        <f t="shared" si="2"/>
        <v>12</v>
      </c>
      <c r="M53" s="53"/>
      <c r="N53" s="16">
        <v>405.84</v>
      </c>
    </row>
    <row r="54" spans="1:14">
      <c r="A54" s="10" t="s">
        <v>79</v>
      </c>
      <c r="B54" s="10"/>
      <c r="C54" s="69">
        <v>250</v>
      </c>
      <c r="D54" s="63">
        <v>500</v>
      </c>
      <c r="E54" s="35"/>
      <c r="F54" s="23"/>
      <c r="G54" s="23"/>
      <c r="H54" s="71"/>
      <c r="I54" s="71"/>
      <c r="J54" s="71"/>
      <c r="K54" s="71"/>
      <c r="L54" s="84">
        <f t="shared" si="2"/>
        <v>0</v>
      </c>
      <c r="M54" s="52"/>
      <c r="N54" s="16">
        <v>0</v>
      </c>
    </row>
    <row r="55" spans="1:14">
      <c r="A55" s="36" t="s">
        <v>80</v>
      </c>
      <c r="B55" s="27"/>
      <c r="C55" s="27">
        <f t="shared" ref="C55:K55" si="3">SUM(C19:C54)</f>
        <v>2083</v>
      </c>
      <c r="D55" s="80">
        <f t="shared" si="3"/>
        <v>8396</v>
      </c>
      <c r="E55" s="30">
        <f t="shared" si="3"/>
        <v>158.01</v>
      </c>
      <c r="F55" s="30" t="e">
        <f t="shared" si="3"/>
        <v>#REF!</v>
      </c>
      <c r="G55" s="30" t="e">
        <f t="shared" si="3"/>
        <v>#REF!</v>
      </c>
      <c r="H55" s="30">
        <f t="shared" si="3"/>
        <v>1534.6299999999999</v>
      </c>
      <c r="I55" s="30">
        <f t="shared" si="3"/>
        <v>1027.2</v>
      </c>
      <c r="J55" s="30">
        <f t="shared" si="3"/>
        <v>1435.23</v>
      </c>
      <c r="K55" s="30">
        <f t="shared" si="3"/>
        <v>2137.0299999999997</v>
      </c>
      <c r="L55" s="85" t="e">
        <f t="shared" si="2"/>
        <v>#REF!</v>
      </c>
      <c r="M55" s="50"/>
      <c r="N55" s="38">
        <v>14630.99</v>
      </c>
    </row>
    <row r="56" spans="1:14">
      <c r="A56" s="39" t="s">
        <v>134</v>
      </c>
      <c r="B56" s="40"/>
      <c r="C56" s="40"/>
      <c r="D56" s="40"/>
      <c r="E56" s="42"/>
      <c r="N56" s="41"/>
    </row>
    <row r="57" spans="1:14">
      <c r="A57" s="43" t="s">
        <v>84</v>
      </c>
      <c r="B57" s="81">
        <f>D4</f>
        <v>8323.18</v>
      </c>
      <c r="C57" s="81"/>
      <c r="D57" s="44"/>
      <c r="N57" s="42"/>
    </row>
    <row r="58" spans="1:14">
      <c r="A58" s="43" t="s">
        <v>85</v>
      </c>
      <c r="B58" s="81" t="e">
        <f>L16-L4</f>
        <v>#REF!</v>
      </c>
      <c r="C58" s="81"/>
      <c r="D58" s="44"/>
    </row>
    <row r="59" spans="1:14">
      <c r="A59" s="43" t="s">
        <v>86</v>
      </c>
      <c r="B59" s="81" t="e">
        <f>L55</f>
        <v>#REF!</v>
      </c>
      <c r="C59" s="81"/>
      <c r="D59" s="44"/>
      <c r="J59" s="42"/>
      <c r="N59" s="47"/>
    </row>
    <row r="60" spans="1:14" ht="17.25">
      <c r="A60" s="43" t="s">
        <v>87</v>
      </c>
      <c r="B60" s="82" t="e">
        <f>B57+B58-B59</f>
        <v>#REF!</v>
      </c>
      <c r="C60" s="82"/>
      <c r="D60" s="48"/>
      <c r="E60" s="47"/>
      <c r="F60" s="83" t="e">
        <f>B60-F62</f>
        <v>#REF!</v>
      </c>
    </row>
    <row r="61" spans="1:14">
      <c r="A61" s="39" t="s">
        <v>88</v>
      </c>
      <c r="B61" s="81"/>
      <c r="C61" s="81">
        <f>1294.78</f>
        <v>1294.78</v>
      </c>
      <c r="D61" s="44"/>
      <c r="F61" s="83"/>
    </row>
    <row r="62" spans="1:14">
      <c r="A62" s="43" t="s">
        <v>89</v>
      </c>
      <c r="B62" s="81">
        <v>4285.25</v>
      </c>
      <c r="C62" s="81" t="e">
        <f>B60-C61</f>
        <v>#REF!</v>
      </c>
      <c r="D62" s="44"/>
      <c r="F62" s="45">
        <f>B64-H52</f>
        <v>1055.78</v>
      </c>
      <c r="I62" s="86" t="e">
        <f>#REF!-#REF!</f>
        <v>#REF!</v>
      </c>
    </row>
    <row r="63" spans="1:14">
      <c r="A63" s="43" t="s">
        <v>90</v>
      </c>
      <c r="B63" s="81">
        <v>5721.64</v>
      </c>
      <c r="C63" s="81"/>
      <c r="D63" s="44"/>
      <c r="N63" s="47"/>
    </row>
    <row r="64" spans="1:14">
      <c r="A64" s="43" t="s">
        <v>91</v>
      </c>
      <c r="B64" s="81">
        <f>1533.78-H52</f>
        <v>1294.78</v>
      </c>
      <c r="C64" s="81"/>
      <c r="D64" s="44"/>
      <c r="J64" s="46"/>
      <c r="N64" s="47"/>
    </row>
    <row r="65" spans="1:14" ht="17.25">
      <c r="A65" s="47"/>
      <c r="B65" s="82">
        <f>SUM(B62:B64)</f>
        <v>11301.67</v>
      </c>
      <c r="C65" s="82"/>
      <c r="D65" s="48"/>
      <c r="N65" s="47"/>
    </row>
    <row r="66" spans="1:14">
      <c r="B66" s="55"/>
      <c r="C66" s="55"/>
      <c r="D66" s="55"/>
    </row>
    <row r="67" spans="1:14" ht="17.25">
      <c r="A67" s="56"/>
      <c r="B67" s="87"/>
      <c r="C67" s="87"/>
      <c r="D67" s="57"/>
    </row>
    <row r="68" spans="1:14">
      <c r="B68" s="55"/>
      <c r="C68" s="55"/>
      <c r="D68" s="55"/>
    </row>
    <row r="69" spans="1:14">
      <c r="A69" s="58"/>
      <c r="B69" s="48"/>
      <c r="C69" s="48"/>
      <c r="D69" s="48"/>
      <c r="E69" s="47"/>
    </row>
    <row r="70" spans="1:14">
      <c r="B70" s="55"/>
      <c r="C70" s="55"/>
      <c r="D70" s="55"/>
      <c r="H70" s="46"/>
    </row>
    <row r="71" spans="1:14">
      <c r="H71" s="46"/>
    </row>
  </sheetData>
  <mergeCells count="1">
    <mergeCell ref="A18:B18"/>
  </mergeCells>
  <pageMargins left="0.69930555555555596" right="0.69930555555555596" top="0.75" bottom="0.75" header="0.3" footer="0.3"/>
  <pageSetup paperSize="9" scale="47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P25"/>
  <sheetViews>
    <sheetView topLeftCell="A12" workbookViewId="0">
      <selection activeCell="N20" sqref="N20"/>
    </sheetView>
  </sheetViews>
  <sheetFormatPr defaultColWidth="9" defaultRowHeight="15"/>
  <sheetData>
    <row r="3" spans="2:16">
      <c r="B3">
        <v>3.78</v>
      </c>
      <c r="P3">
        <v>17</v>
      </c>
    </row>
    <row r="4" spans="2:16">
      <c r="B4">
        <v>7.56</v>
      </c>
      <c r="P4">
        <v>3.78</v>
      </c>
    </row>
    <row r="5" spans="2:16">
      <c r="B5">
        <v>0.95</v>
      </c>
      <c r="L5">
        <v>379.23</v>
      </c>
      <c r="M5">
        <v>379.23</v>
      </c>
      <c r="P5">
        <v>7.56</v>
      </c>
    </row>
    <row r="6" spans="2:16">
      <c r="B6">
        <v>0.95</v>
      </c>
      <c r="L6">
        <v>94.8</v>
      </c>
      <c r="M6">
        <v>94.8</v>
      </c>
      <c r="P6">
        <v>0.95</v>
      </c>
    </row>
    <row r="7" spans="2:16">
      <c r="B7">
        <v>7.56</v>
      </c>
      <c r="L7">
        <v>152.5</v>
      </c>
      <c r="M7">
        <v>152.5</v>
      </c>
      <c r="P7">
        <v>0.95</v>
      </c>
    </row>
    <row r="8" spans="2:16">
      <c r="B8">
        <v>40</v>
      </c>
      <c r="L8">
        <v>685.2</v>
      </c>
      <c r="M8">
        <v>685.2</v>
      </c>
      <c r="P8">
        <v>7.56</v>
      </c>
    </row>
    <row r="9" spans="2:16">
      <c r="B9">
        <v>78.37</v>
      </c>
      <c r="L9">
        <v>17</v>
      </c>
      <c r="M9">
        <v>17</v>
      </c>
      <c r="P9">
        <v>13.33</v>
      </c>
    </row>
    <row r="10" spans="2:16">
      <c r="B10">
        <v>13.33</v>
      </c>
      <c r="L10">
        <v>79.94</v>
      </c>
      <c r="M10">
        <v>183.72</v>
      </c>
      <c r="P10">
        <f>SUM(P3:P9)</f>
        <v>51.129999999999995</v>
      </c>
    </row>
    <row r="11" spans="2:16">
      <c r="B11">
        <f>SUM(B3:B10)</f>
        <v>152.50000000000003</v>
      </c>
      <c r="L11">
        <v>183.72</v>
      </c>
      <c r="M11">
        <v>79.94</v>
      </c>
    </row>
    <row r="12" spans="2:16">
      <c r="L12">
        <f>SUM(L5:L11)</f>
        <v>1592.39</v>
      </c>
      <c r="M12">
        <f>SUM(M5:M11)</f>
        <v>1592.39</v>
      </c>
    </row>
    <row r="15" spans="2:16">
      <c r="H15">
        <f>39.95/3</f>
        <v>13.316666666666668</v>
      </c>
    </row>
    <row r="17" spans="11:14">
      <c r="K17" s="59">
        <v>2013</v>
      </c>
      <c r="N17">
        <f>1933+80</f>
        <v>2013</v>
      </c>
    </row>
    <row r="18" spans="11:14" ht="28.5">
      <c r="K18" s="60" t="s">
        <v>135</v>
      </c>
      <c r="N18" s="61">
        <v>640</v>
      </c>
    </row>
    <row r="19" spans="11:14" ht="28.5">
      <c r="K19" s="60" t="s">
        <v>69</v>
      </c>
      <c r="N19" s="61">
        <v>240</v>
      </c>
    </row>
    <row r="20" spans="11:14" ht="28.5">
      <c r="K20" s="60" t="s">
        <v>48</v>
      </c>
      <c r="N20" s="61">
        <v>1005</v>
      </c>
    </row>
    <row r="21" spans="11:14">
      <c r="K21" s="60" t="s">
        <v>136</v>
      </c>
      <c r="N21" s="61">
        <v>250</v>
      </c>
    </row>
    <row r="22" spans="11:14" ht="28.5">
      <c r="K22" s="60" t="s">
        <v>51</v>
      </c>
      <c r="N22" s="61">
        <v>2340</v>
      </c>
    </row>
    <row r="23" spans="11:14" ht="28.5">
      <c r="K23" s="60" t="s">
        <v>137</v>
      </c>
      <c r="N23" s="61">
        <v>575</v>
      </c>
    </row>
    <row r="24" spans="11:14" ht="28.5">
      <c r="K24" s="60" t="s">
        <v>79</v>
      </c>
      <c r="N24" s="61">
        <v>250</v>
      </c>
    </row>
    <row r="25" spans="11:14">
      <c r="N25" s="62">
        <f>SUM(N17:N24)</f>
        <v>7313</v>
      </c>
    </row>
  </sheetData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71"/>
  <sheetViews>
    <sheetView topLeftCell="B54" zoomScale="115" zoomScaleNormal="115" workbookViewId="0">
      <selection activeCell="L61" sqref="L61"/>
    </sheetView>
  </sheetViews>
  <sheetFormatPr defaultColWidth="24.28515625" defaultRowHeight="15"/>
  <cols>
    <col min="1" max="1" width="57.7109375" customWidth="1"/>
    <col min="2" max="2" width="21.42578125" customWidth="1"/>
    <col min="3" max="4" width="12.28515625" customWidth="1"/>
    <col min="5" max="5" width="11.5703125" customWidth="1"/>
    <col min="6" max="6" width="11.28515625" customWidth="1"/>
    <col min="7" max="7" width="9.28515625" customWidth="1"/>
    <col min="8" max="8" width="9.5703125" customWidth="1"/>
    <col min="9" max="11" width="8.42578125" customWidth="1"/>
    <col min="12" max="12" width="12.5703125" customWidth="1"/>
    <col min="13" max="13" width="24.5703125" customWidth="1"/>
  </cols>
  <sheetData>
    <row r="1" spans="1:13">
      <c r="A1" s="1" t="s">
        <v>0</v>
      </c>
    </row>
    <row r="2" spans="1:13">
      <c r="A2" s="2" t="s">
        <v>138</v>
      </c>
      <c r="B2" s="2"/>
      <c r="C2" s="2"/>
      <c r="D2" s="2"/>
      <c r="F2" s="3"/>
    </row>
    <row r="3" spans="1:13" ht="26.25">
      <c r="A3" s="4" t="s">
        <v>4</v>
      </c>
      <c r="B3" s="5"/>
      <c r="C3" s="6" t="s">
        <v>106</v>
      </c>
      <c r="D3" s="7" t="s">
        <v>139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105</v>
      </c>
      <c r="M3" s="8" t="s">
        <v>140</v>
      </c>
    </row>
    <row r="4" spans="1:13">
      <c r="A4" s="10" t="s">
        <v>16</v>
      </c>
      <c r="B4" s="11"/>
      <c r="C4" s="12">
        <f>3184.15+6466.47+1766.83</f>
        <v>11417.45</v>
      </c>
      <c r="D4" s="13">
        <v>7918</v>
      </c>
      <c r="E4" s="14"/>
      <c r="F4" s="14"/>
      <c r="G4" s="14"/>
      <c r="H4" s="14"/>
      <c r="I4" s="14"/>
      <c r="J4" s="14"/>
      <c r="K4" s="14"/>
      <c r="L4" s="18">
        <f>C4</f>
        <v>11417.45</v>
      </c>
      <c r="M4" s="50" t="s">
        <v>129</v>
      </c>
    </row>
    <row r="5" spans="1:13">
      <c r="A5" s="10" t="s">
        <v>19</v>
      </c>
      <c r="B5" s="11"/>
      <c r="C5" s="15">
        <f>4952*1.02</f>
        <v>5051.04</v>
      </c>
      <c r="D5" s="16">
        <v>4952</v>
      </c>
      <c r="E5" s="17">
        <v>5051</v>
      </c>
      <c r="F5" s="18" t="s">
        <v>129</v>
      </c>
      <c r="G5" s="18"/>
      <c r="H5" s="18"/>
      <c r="I5" s="23"/>
      <c r="J5" s="23"/>
      <c r="K5" s="23"/>
      <c r="L5" s="18">
        <f>SUM(E5:K5)</f>
        <v>5051</v>
      </c>
      <c r="M5" s="51">
        <f>(L5-C5)/C5*100</f>
        <v>-7.9191612024382351E-4</v>
      </c>
    </row>
    <row r="6" spans="1:13">
      <c r="A6" s="19" t="s">
        <v>20</v>
      </c>
      <c r="B6" s="10"/>
      <c r="C6" s="15">
        <v>542</v>
      </c>
      <c r="D6" s="16">
        <v>604</v>
      </c>
      <c r="E6" s="18"/>
      <c r="F6" s="18"/>
      <c r="G6" s="18"/>
      <c r="H6" s="18">
        <v>523</v>
      </c>
      <c r="I6" s="23"/>
      <c r="J6" s="23"/>
      <c r="K6" s="23"/>
      <c r="L6" s="18">
        <f>SUM(E6:K6)</f>
        <v>523</v>
      </c>
      <c r="M6" s="52"/>
    </row>
    <row r="7" spans="1:13">
      <c r="A7" s="19" t="s">
        <v>21</v>
      </c>
      <c r="B7" s="10"/>
      <c r="C7" s="15">
        <f>0.96*4</f>
        <v>3.84</v>
      </c>
      <c r="D7" s="16">
        <v>4</v>
      </c>
      <c r="E7" s="18"/>
      <c r="F7" s="18"/>
      <c r="G7" s="18">
        <v>1.1000000000000001</v>
      </c>
      <c r="H7" s="18">
        <v>1.1100000000000001</v>
      </c>
      <c r="I7" s="23"/>
      <c r="J7" s="23">
        <v>0.96</v>
      </c>
      <c r="K7" s="23">
        <v>1</v>
      </c>
      <c r="L7" s="18">
        <f>SUM(G7:K7)</f>
        <v>4.17</v>
      </c>
      <c r="M7" s="52"/>
    </row>
    <row r="8" spans="1:13">
      <c r="A8" s="19" t="s">
        <v>22</v>
      </c>
      <c r="B8" s="10"/>
      <c r="C8" s="15">
        <v>102</v>
      </c>
      <c r="D8" s="16">
        <v>100</v>
      </c>
      <c r="E8" s="18"/>
      <c r="F8" s="18"/>
      <c r="G8" s="18">
        <v>101.05</v>
      </c>
      <c r="H8" s="18"/>
      <c r="I8" s="23"/>
      <c r="J8" s="23"/>
      <c r="K8" s="23"/>
      <c r="L8" s="18">
        <f>SUM(E8:K8)</f>
        <v>101.05</v>
      </c>
      <c r="M8" s="52"/>
    </row>
    <row r="9" spans="1:13">
      <c r="A9" s="19" t="s">
        <v>23</v>
      </c>
      <c r="B9" s="10"/>
      <c r="C9" s="15">
        <v>0</v>
      </c>
      <c r="D9" s="16">
        <v>6200</v>
      </c>
      <c r="E9" s="18"/>
      <c r="F9" s="18"/>
      <c r="G9" s="18"/>
      <c r="H9" s="18"/>
      <c r="I9" s="23"/>
      <c r="J9" s="23"/>
      <c r="K9" s="23">
        <v>3855</v>
      </c>
      <c r="L9" s="18">
        <f>SUM(E9:K9)</f>
        <v>3855</v>
      </c>
      <c r="M9" s="52"/>
    </row>
    <row r="10" spans="1:13">
      <c r="A10" s="19" t="s">
        <v>24</v>
      </c>
      <c r="B10" s="10"/>
      <c r="C10" s="15">
        <v>0</v>
      </c>
      <c r="D10" s="16"/>
      <c r="E10" s="18"/>
      <c r="F10" s="18"/>
      <c r="G10" s="18"/>
      <c r="H10" s="18"/>
      <c r="I10" s="23"/>
      <c r="J10" s="23"/>
      <c r="K10" s="23"/>
      <c r="L10" s="18"/>
      <c r="M10" s="52"/>
    </row>
    <row r="11" spans="1:13">
      <c r="A11" s="19" t="s">
        <v>25</v>
      </c>
      <c r="B11" s="10"/>
      <c r="C11" s="15">
        <v>0</v>
      </c>
      <c r="D11" s="16">
        <v>220</v>
      </c>
      <c r="E11" s="18"/>
      <c r="F11" s="18"/>
      <c r="G11" s="18"/>
      <c r="H11" s="18"/>
      <c r="I11" s="23"/>
      <c r="J11" s="23"/>
      <c r="K11" s="23"/>
      <c r="L11" s="18"/>
      <c r="M11" s="52"/>
    </row>
    <row r="12" spans="1:13">
      <c r="A12" s="20" t="s">
        <v>26</v>
      </c>
      <c r="B12" s="10"/>
      <c r="C12" s="15">
        <v>0</v>
      </c>
      <c r="D12" s="16">
        <v>677</v>
      </c>
      <c r="E12" s="18"/>
      <c r="F12" s="18"/>
      <c r="G12" s="18"/>
      <c r="H12" s="18"/>
      <c r="I12" s="23"/>
      <c r="J12" s="23"/>
      <c r="K12" s="23">
        <f>455.28</f>
        <v>455.28</v>
      </c>
      <c r="L12" s="18">
        <f>SUM(K12)</f>
        <v>455.28</v>
      </c>
      <c r="M12" s="52"/>
    </row>
    <row r="13" spans="1:13">
      <c r="A13" s="20" t="s">
        <v>27</v>
      </c>
      <c r="B13" s="21"/>
      <c r="C13" s="15">
        <v>25</v>
      </c>
      <c r="D13" s="16">
        <v>88</v>
      </c>
      <c r="E13" s="18"/>
      <c r="F13" s="22"/>
      <c r="G13" s="18"/>
      <c r="H13" s="18"/>
      <c r="I13" s="23"/>
      <c r="J13" s="23">
        <v>5</v>
      </c>
      <c r="K13" s="23"/>
      <c r="L13" s="18">
        <v>5</v>
      </c>
      <c r="M13" s="52"/>
    </row>
    <row r="14" spans="1:13">
      <c r="A14" s="20" t="s">
        <v>28</v>
      </c>
      <c r="B14" s="21"/>
      <c r="C14" s="15">
        <v>0</v>
      </c>
      <c r="D14" s="16">
        <f>191+1395.2</f>
        <v>1586.2</v>
      </c>
      <c r="E14" s="23"/>
      <c r="F14" s="22">
        <v>423.07</v>
      </c>
      <c r="G14" s="18"/>
      <c r="H14" s="18"/>
      <c r="I14" s="23"/>
      <c r="J14" s="23">
        <v>325</v>
      </c>
      <c r="K14" s="23"/>
      <c r="L14" s="18">
        <f>SUM(F14:K14)</f>
        <v>748.06999999999994</v>
      </c>
      <c r="M14" s="52"/>
    </row>
    <row r="15" spans="1:13" ht="17.25">
      <c r="A15" s="24" t="s">
        <v>29</v>
      </c>
      <c r="B15" s="10" t="s">
        <v>30</v>
      </c>
      <c r="C15" s="15">
        <f>(3*15)*3</f>
        <v>135</v>
      </c>
      <c r="D15" s="16">
        <v>1355</v>
      </c>
      <c r="E15" s="18"/>
      <c r="F15" s="25"/>
      <c r="G15" s="18"/>
      <c r="H15" s="18"/>
      <c r="I15" s="23">
        <v>794.15</v>
      </c>
      <c r="J15" s="23"/>
      <c r="K15" s="23"/>
      <c r="L15" s="18">
        <f>SUM(I15:K15)</f>
        <v>794.15</v>
      </c>
      <c r="M15" s="52"/>
    </row>
    <row r="16" spans="1:13">
      <c r="A16" s="26" t="s">
        <v>31</v>
      </c>
      <c r="B16" s="27"/>
      <c r="C16" s="28">
        <f>SUM(C4:C15)</f>
        <v>17276.330000000002</v>
      </c>
      <c r="D16" s="29">
        <f>SUM(D4:D15)</f>
        <v>23704.2</v>
      </c>
      <c r="E16" s="30">
        <f>SUM(E5:E15)</f>
        <v>5051</v>
      </c>
      <c r="F16" s="30">
        <f>SUM(F5:F15)</f>
        <v>423.07</v>
      </c>
      <c r="G16" s="30">
        <f>SUM(G5:G15)</f>
        <v>102.14999999999999</v>
      </c>
      <c r="H16" s="30">
        <f>SUM(H5:H15)</f>
        <v>524.11</v>
      </c>
      <c r="I16" s="30">
        <f>SUM(I6:I15)</f>
        <v>794.15</v>
      </c>
      <c r="J16" s="30">
        <f>SUM(J5:J15)</f>
        <v>330.96</v>
      </c>
      <c r="K16" s="30">
        <f>SUM(K5:K15)</f>
        <v>4311.28</v>
      </c>
      <c r="L16" s="30">
        <f>SUM(L4:L15)</f>
        <v>22954.17</v>
      </c>
      <c r="M16" s="50" t="s">
        <v>129</v>
      </c>
    </row>
    <row r="17" spans="1:14">
      <c r="A17" s="19"/>
      <c r="B17" s="10"/>
      <c r="C17" s="15"/>
      <c r="D17" s="16"/>
      <c r="E17" s="18"/>
      <c r="F17" s="18"/>
      <c r="G17" s="18"/>
      <c r="H17" s="18"/>
      <c r="I17" s="18"/>
      <c r="J17" s="18"/>
      <c r="K17" s="23"/>
      <c r="L17" s="18"/>
      <c r="M17" s="52"/>
      <c r="N17" s="42"/>
    </row>
    <row r="18" spans="1:14">
      <c r="A18" s="204" t="s">
        <v>141</v>
      </c>
      <c r="B18" s="205"/>
      <c r="C18" s="15"/>
      <c r="D18" s="16"/>
      <c r="E18" s="18"/>
      <c r="F18" s="18"/>
      <c r="G18" s="18"/>
      <c r="H18" s="18"/>
      <c r="I18" s="18"/>
      <c r="J18" s="18"/>
      <c r="K18" s="23"/>
      <c r="L18" s="18"/>
      <c r="M18" s="52"/>
    </row>
    <row r="19" spans="1:14">
      <c r="A19" s="10" t="s">
        <v>36</v>
      </c>
      <c r="B19" s="10" t="s">
        <v>37</v>
      </c>
      <c r="C19" s="15">
        <v>126</v>
      </c>
      <c r="D19" s="16">
        <v>124</v>
      </c>
      <c r="E19" s="18"/>
      <c r="F19" s="18">
        <v>126</v>
      </c>
      <c r="G19" s="18"/>
      <c r="H19" s="18"/>
      <c r="I19" s="23"/>
      <c r="J19" s="23"/>
      <c r="K19" s="23"/>
      <c r="L19" s="18">
        <f t="shared" ref="L19:L53" si="0">SUM(E19:K19)</f>
        <v>126</v>
      </c>
      <c r="M19" s="52"/>
    </row>
    <row r="20" spans="1:14" ht="17.25">
      <c r="A20" s="19" t="s">
        <v>38</v>
      </c>
      <c r="B20" s="10" t="s">
        <v>39</v>
      </c>
      <c r="C20" s="15">
        <v>400</v>
      </c>
      <c r="D20" s="16">
        <v>0</v>
      </c>
      <c r="E20" s="18"/>
      <c r="F20" s="32"/>
      <c r="G20" s="18"/>
      <c r="H20" s="18"/>
      <c r="I20" s="23"/>
      <c r="J20" s="23"/>
      <c r="K20" s="23"/>
      <c r="L20" s="18">
        <f t="shared" si="0"/>
        <v>0</v>
      </c>
      <c r="M20" s="53"/>
    </row>
    <row r="21" spans="1:14" ht="17.25">
      <c r="A21" s="19"/>
      <c r="B21" s="10" t="s">
        <v>131</v>
      </c>
      <c r="C21" s="15">
        <v>350</v>
      </c>
      <c r="D21" s="16">
        <v>0</v>
      </c>
      <c r="E21" s="18"/>
      <c r="F21" s="32"/>
      <c r="G21" s="18"/>
      <c r="H21" s="18"/>
      <c r="I21" s="23"/>
      <c r="J21" s="23"/>
      <c r="K21" s="23"/>
      <c r="L21" s="18">
        <f t="shared" si="0"/>
        <v>0</v>
      </c>
      <c r="M21" s="53"/>
    </row>
    <row r="22" spans="1:14" ht="17.25">
      <c r="A22" s="19"/>
      <c r="B22" s="10" t="s">
        <v>132</v>
      </c>
      <c r="C22" s="15">
        <v>0</v>
      </c>
      <c r="D22" s="16">
        <v>5450</v>
      </c>
      <c r="E22" s="18"/>
      <c r="F22" s="32"/>
      <c r="G22" s="18"/>
      <c r="H22" s="18"/>
      <c r="I22" s="23"/>
      <c r="J22" s="23"/>
      <c r="K22" s="23">
        <f>692+1263+1900</f>
        <v>3855</v>
      </c>
      <c r="L22" s="18">
        <f t="shared" si="0"/>
        <v>3855</v>
      </c>
      <c r="M22" s="53"/>
    </row>
    <row r="23" spans="1:14" ht="17.25">
      <c r="A23" s="19"/>
      <c r="B23" s="10" t="s">
        <v>133</v>
      </c>
      <c r="C23" s="15">
        <v>0</v>
      </c>
      <c r="D23" s="16">
        <v>20</v>
      </c>
      <c r="E23" s="18"/>
      <c r="F23" s="32"/>
      <c r="G23" s="18"/>
      <c r="H23" s="18"/>
      <c r="I23" s="23"/>
      <c r="J23" s="23"/>
      <c r="K23" s="23"/>
      <c r="L23" s="18">
        <f t="shared" si="0"/>
        <v>0</v>
      </c>
      <c r="M23" s="53"/>
    </row>
    <row r="24" spans="1:14" ht="17.25">
      <c r="A24" s="19"/>
      <c r="B24" s="10" t="s">
        <v>41</v>
      </c>
      <c r="C24" s="15">
        <v>1500</v>
      </c>
      <c r="D24" s="16">
        <v>38</v>
      </c>
      <c r="E24" s="18"/>
      <c r="F24" s="32"/>
      <c r="G24" s="18"/>
      <c r="H24" s="18">
        <f>1025+300</f>
        <v>1325</v>
      </c>
      <c r="I24" s="23"/>
      <c r="J24" s="23"/>
      <c r="K24" s="23"/>
      <c r="L24" s="18">
        <f t="shared" si="0"/>
        <v>1325</v>
      </c>
      <c r="M24" s="53"/>
    </row>
    <row r="25" spans="1:14">
      <c r="A25" s="19" t="s">
        <v>42</v>
      </c>
      <c r="B25" s="10" t="s">
        <v>43</v>
      </c>
      <c r="C25" s="15">
        <f>423.07+300</f>
        <v>723.06999999999994</v>
      </c>
      <c r="D25" s="16">
        <v>280</v>
      </c>
      <c r="E25" s="33"/>
      <c r="F25" s="18"/>
      <c r="G25" s="18"/>
      <c r="H25" s="18"/>
      <c r="I25" s="23"/>
      <c r="J25" s="23"/>
      <c r="K25" s="23">
        <f>350</f>
        <v>350</v>
      </c>
      <c r="L25" s="18">
        <f t="shared" si="0"/>
        <v>350</v>
      </c>
      <c r="M25" s="53"/>
    </row>
    <row r="26" spans="1:14">
      <c r="A26" s="19"/>
      <c r="B26" s="10" t="s">
        <v>44</v>
      </c>
      <c r="C26" s="15">
        <v>50</v>
      </c>
      <c r="D26" s="16">
        <v>50</v>
      </c>
      <c r="E26" s="33"/>
      <c r="F26" s="18"/>
      <c r="G26" s="18"/>
      <c r="H26" s="18"/>
      <c r="I26" s="23">
        <v>50</v>
      </c>
      <c r="J26" s="23"/>
      <c r="K26" s="23">
        <f>300</f>
        <v>300</v>
      </c>
      <c r="L26" s="18">
        <f t="shared" si="0"/>
        <v>350</v>
      </c>
      <c r="M26" s="53"/>
    </row>
    <row r="27" spans="1:14">
      <c r="A27" s="19"/>
      <c r="B27" s="10" t="s">
        <v>45</v>
      </c>
      <c r="C27" s="15">
        <v>200</v>
      </c>
      <c r="D27" s="16">
        <v>0</v>
      </c>
      <c r="E27" s="33"/>
      <c r="F27" s="18"/>
      <c r="G27" s="18"/>
      <c r="H27" s="18">
        <v>200</v>
      </c>
      <c r="I27" s="23"/>
      <c r="J27" s="23"/>
      <c r="K27" s="23"/>
      <c r="L27" s="18">
        <f t="shared" si="0"/>
        <v>200</v>
      </c>
      <c r="M27" s="53"/>
    </row>
    <row r="28" spans="1:14">
      <c r="A28" s="19"/>
      <c r="B28" s="10" t="s">
        <v>46</v>
      </c>
      <c r="C28" s="15">
        <v>150</v>
      </c>
      <c r="D28" s="16">
        <v>50</v>
      </c>
      <c r="E28" s="33"/>
      <c r="F28" s="18"/>
      <c r="G28" s="18"/>
      <c r="H28" s="18"/>
      <c r="I28" s="23">
        <v>50</v>
      </c>
      <c r="J28" s="23"/>
      <c r="K28" s="23"/>
      <c r="L28" s="18">
        <f t="shared" si="0"/>
        <v>50</v>
      </c>
      <c r="M28" s="53"/>
    </row>
    <row r="29" spans="1:14">
      <c r="A29" s="19"/>
      <c r="B29" s="10" t="s">
        <v>47</v>
      </c>
      <c r="C29" s="15">
        <v>0</v>
      </c>
      <c r="D29" s="16">
        <v>0</v>
      </c>
      <c r="E29" s="33"/>
      <c r="F29" s="18"/>
      <c r="G29" s="18"/>
      <c r="H29" s="18"/>
      <c r="I29" s="23"/>
      <c r="J29" s="23"/>
      <c r="K29" s="23"/>
      <c r="L29" s="18">
        <f t="shared" si="0"/>
        <v>0</v>
      </c>
      <c r="M29" s="53"/>
    </row>
    <row r="30" spans="1:14">
      <c r="A30" s="10" t="s">
        <v>48</v>
      </c>
      <c r="B30" s="10" t="s">
        <v>49</v>
      </c>
      <c r="C30" s="15">
        <v>309.82</v>
      </c>
      <c r="D30" s="16">
        <v>290</v>
      </c>
      <c r="E30" s="33"/>
      <c r="F30" s="18">
        <v>309.82</v>
      </c>
      <c r="G30" s="18"/>
      <c r="H30" s="18"/>
      <c r="I30" s="23"/>
      <c r="J30" s="23"/>
      <c r="K30" s="23"/>
      <c r="L30" s="18">
        <f t="shared" si="0"/>
        <v>309.82</v>
      </c>
      <c r="M30" s="53"/>
    </row>
    <row r="31" spans="1:14">
      <c r="A31" s="10"/>
      <c r="B31" s="10" t="s">
        <v>50</v>
      </c>
      <c r="C31" s="15">
        <v>423.07</v>
      </c>
      <c r="D31" s="16">
        <v>392</v>
      </c>
      <c r="E31" s="33"/>
      <c r="F31" s="18">
        <v>423.07</v>
      </c>
      <c r="G31" s="18"/>
      <c r="H31" s="18"/>
      <c r="I31" s="23"/>
      <c r="J31" s="23"/>
      <c r="K31" s="23"/>
      <c r="L31" s="18">
        <f t="shared" si="0"/>
        <v>423.07</v>
      </c>
      <c r="M31" s="53"/>
    </row>
    <row r="32" spans="1:14">
      <c r="A32" s="10"/>
      <c r="B32" s="10" t="s">
        <v>29</v>
      </c>
      <c r="C32" s="15">
        <v>150.52000000000001</v>
      </c>
      <c r="D32" s="16">
        <v>146</v>
      </c>
      <c r="E32" s="33"/>
      <c r="F32" s="18">
        <v>150.52000000000001</v>
      </c>
      <c r="G32" s="18"/>
      <c r="H32" s="18"/>
      <c r="I32" s="23"/>
      <c r="J32" s="23"/>
      <c r="K32" s="23"/>
      <c r="L32" s="18">
        <f t="shared" si="0"/>
        <v>150.52000000000001</v>
      </c>
      <c r="M32" s="53"/>
    </row>
    <row r="33" spans="1:13">
      <c r="A33" s="10" t="s">
        <v>51</v>
      </c>
      <c r="B33" s="10" t="s">
        <v>52</v>
      </c>
      <c r="C33" s="15">
        <f>1500*1.05</f>
        <v>1575</v>
      </c>
      <c r="D33" s="16">
        <v>1125</v>
      </c>
      <c r="E33" s="33"/>
      <c r="F33" s="18">
        <v>125</v>
      </c>
      <c r="G33" s="18">
        <v>125</v>
      </c>
      <c r="H33" s="18">
        <v>125</v>
      </c>
      <c r="I33" s="23">
        <v>250</v>
      </c>
      <c r="J33" s="23"/>
      <c r="K33" s="23"/>
      <c r="L33" s="18">
        <f t="shared" si="0"/>
        <v>625</v>
      </c>
      <c r="M33" s="54"/>
    </row>
    <row r="34" spans="1:13">
      <c r="A34" s="19"/>
      <c r="B34" s="10" t="s">
        <v>53</v>
      </c>
      <c r="C34" s="15">
        <v>59.95</v>
      </c>
      <c r="D34" s="16">
        <v>60</v>
      </c>
      <c r="E34" s="33"/>
      <c r="F34" s="18">
        <v>59.95</v>
      </c>
      <c r="G34" s="18"/>
      <c r="H34" s="18"/>
      <c r="I34" s="23"/>
      <c r="J34" s="23"/>
      <c r="K34" s="23"/>
      <c r="L34" s="18">
        <f t="shared" si="0"/>
        <v>59.95</v>
      </c>
      <c r="M34" s="54"/>
    </row>
    <row r="35" spans="1:13">
      <c r="A35" s="10"/>
      <c r="B35" s="10" t="s">
        <v>54</v>
      </c>
      <c r="C35" s="15">
        <f>100</f>
        <v>100</v>
      </c>
      <c r="D35" s="16">
        <v>30</v>
      </c>
      <c r="E35" s="33"/>
      <c r="F35" s="18">
        <v>35</v>
      </c>
      <c r="G35" s="18"/>
      <c r="H35" s="18">
        <v>40</v>
      </c>
      <c r="I35" s="23"/>
      <c r="J35" s="23"/>
      <c r="K35" s="23">
        <v>155.94999999999999</v>
      </c>
      <c r="L35" s="18">
        <f t="shared" si="0"/>
        <v>230.95</v>
      </c>
      <c r="M35" s="54"/>
    </row>
    <row r="36" spans="1:13">
      <c r="A36" s="10"/>
      <c r="B36" s="10" t="s">
        <v>55</v>
      </c>
      <c r="C36" s="15">
        <v>600</v>
      </c>
      <c r="D36" s="16">
        <v>0</v>
      </c>
      <c r="E36" s="33"/>
      <c r="F36" s="18"/>
      <c r="G36" s="18">
        <v>600</v>
      </c>
      <c r="H36" s="18"/>
      <c r="I36" s="23"/>
      <c r="J36" s="23"/>
      <c r="K36" s="23"/>
      <c r="L36" s="18">
        <f t="shared" si="0"/>
        <v>600</v>
      </c>
      <c r="M36" s="54"/>
    </row>
    <row r="37" spans="1:13">
      <c r="A37" s="19"/>
      <c r="B37" s="10" t="s">
        <v>56</v>
      </c>
      <c r="C37" s="15">
        <v>345</v>
      </c>
      <c r="D37" s="16">
        <v>0</v>
      </c>
      <c r="E37" s="33"/>
      <c r="F37" s="18">
        <v>345</v>
      </c>
      <c r="G37" s="18"/>
      <c r="H37" s="18"/>
      <c r="I37" s="23"/>
      <c r="J37" s="23"/>
      <c r="K37" s="23">
        <v>1410</v>
      </c>
      <c r="L37" s="18">
        <f t="shared" si="0"/>
        <v>1755</v>
      </c>
      <c r="M37" s="54"/>
    </row>
    <row r="38" spans="1:13">
      <c r="A38" s="10" t="s">
        <v>57</v>
      </c>
      <c r="B38" s="10" t="s">
        <v>58</v>
      </c>
      <c r="C38" s="15">
        <f>(8.835*17.5)*12</f>
        <v>1855.3500000000001</v>
      </c>
      <c r="D38" s="16">
        <v>1657</v>
      </c>
      <c r="E38" s="34">
        <f>154.61</f>
        <v>154.61000000000001</v>
      </c>
      <c r="F38" s="18">
        <f>154.61*2</f>
        <v>309.22000000000003</v>
      </c>
      <c r="G38" s="18">
        <f>154.61+154.61</f>
        <v>309.22000000000003</v>
      </c>
      <c r="H38" s="18">
        <f>154.61*2</f>
        <v>309.22000000000003</v>
      </c>
      <c r="I38" s="23">
        <v>309.22000000000003</v>
      </c>
      <c r="J38" s="23">
        <v>326.93</v>
      </c>
      <c r="K38" s="23">
        <v>158.01</v>
      </c>
      <c r="L38" s="18">
        <f t="shared" si="0"/>
        <v>1876.43</v>
      </c>
      <c r="M38" s="54"/>
    </row>
    <row r="39" spans="1:13">
      <c r="A39" s="19"/>
      <c r="B39" s="10" t="s">
        <v>59</v>
      </c>
      <c r="C39" s="15">
        <v>80</v>
      </c>
      <c r="D39" s="16">
        <v>80</v>
      </c>
      <c r="E39" s="33"/>
      <c r="F39" s="18"/>
      <c r="G39" s="18"/>
      <c r="H39" s="18">
        <f>40</f>
        <v>40</v>
      </c>
      <c r="I39" s="23"/>
      <c r="J39" s="23"/>
      <c r="K39" s="23">
        <f>40</f>
        <v>40</v>
      </c>
      <c r="L39" s="18">
        <f t="shared" si="0"/>
        <v>80</v>
      </c>
      <c r="M39" s="53"/>
    </row>
    <row r="40" spans="1:13">
      <c r="A40" s="10" t="s">
        <v>62</v>
      </c>
      <c r="B40" s="10" t="s">
        <v>63</v>
      </c>
      <c r="C40" s="15">
        <v>175</v>
      </c>
      <c r="D40" s="16">
        <v>100</v>
      </c>
      <c r="E40" s="33"/>
      <c r="F40" s="18"/>
      <c r="G40" s="18"/>
      <c r="H40" s="18">
        <v>100</v>
      </c>
      <c r="I40" s="23"/>
      <c r="J40" s="23"/>
      <c r="K40" s="23"/>
      <c r="L40" s="18">
        <f t="shared" si="0"/>
        <v>100</v>
      </c>
      <c r="M40" s="53"/>
    </row>
    <row r="41" spans="1:13">
      <c r="A41" s="10"/>
      <c r="B41" s="10" t="s">
        <v>142</v>
      </c>
      <c r="C41" s="15">
        <v>100</v>
      </c>
      <c r="D41" s="16">
        <v>116</v>
      </c>
      <c r="E41" s="33"/>
      <c r="F41" s="18">
        <v>0.6</v>
      </c>
      <c r="G41" s="18"/>
      <c r="H41" s="18">
        <f>3.18</f>
        <v>3.18</v>
      </c>
      <c r="I41" s="23">
        <f>0.93+4.11</f>
        <v>5.04</v>
      </c>
      <c r="J41" s="23"/>
      <c r="K41" s="23">
        <v>10.09</v>
      </c>
      <c r="L41" s="18">
        <f t="shared" si="0"/>
        <v>18.91</v>
      </c>
      <c r="M41" s="53"/>
    </row>
    <row r="42" spans="1:13">
      <c r="A42" s="10"/>
      <c r="B42" s="10" t="s">
        <v>24</v>
      </c>
      <c r="C42" s="15">
        <v>75</v>
      </c>
      <c r="D42" s="16">
        <v>0</v>
      </c>
      <c r="E42" s="33"/>
      <c r="F42" s="18">
        <v>30</v>
      </c>
      <c r="G42" s="18"/>
      <c r="H42" s="18"/>
      <c r="I42" s="23"/>
      <c r="J42" s="23"/>
      <c r="K42" s="23"/>
      <c r="L42" s="18">
        <f t="shared" si="0"/>
        <v>30</v>
      </c>
      <c r="M42" s="52"/>
    </row>
    <row r="43" spans="1:13">
      <c r="A43" s="10" t="s">
        <v>65</v>
      </c>
      <c r="B43" s="10" t="s">
        <v>66</v>
      </c>
      <c r="C43" s="15">
        <v>80</v>
      </c>
      <c r="D43" s="16">
        <v>0</v>
      </c>
      <c r="E43" s="33"/>
      <c r="F43" s="18">
        <v>20.69</v>
      </c>
      <c r="G43" s="18"/>
      <c r="H43" s="18">
        <v>11.37</v>
      </c>
      <c r="I43" s="23"/>
      <c r="J43" s="23"/>
      <c r="K43" s="23"/>
      <c r="L43" s="18">
        <f t="shared" si="0"/>
        <v>32.06</v>
      </c>
      <c r="M43" s="52"/>
    </row>
    <row r="44" spans="1:13">
      <c r="A44" s="10"/>
      <c r="B44" s="10" t="s">
        <v>67</v>
      </c>
      <c r="C44" s="15">
        <v>100</v>
      </c>
      <c r="D44" s="16">
        <v>0</v>
      </c>
      <c r="E44" s="33"/>
      <c r="F44" s="18"/>
      <c r="G44" s="18">
        <v>99.99</v>
      </c>
      <c r="H44" s="18"/>
      <c r="I44" s="23"/>
      <c r="J44" s="23"/>
      <c r="K44" s="23"/>
      <c r="L44" s="18">
        <f t="shared" si="0"/>
        <v>99.99</v>
      </c>
      <c r="M44" s="52"/>
    </row>
    <row r="45" spans="1:13">
      <c r="A45" s="10" t="s">
        <v>68</v>
      </c>
      <c r="B45" s="20"/>
      <c r="C45" s="15">
        <v>105</v>
      </c>
      <c r="D45" s="16">
        <v>105</v>
      </c>
      <c r="E45" s="33"/>
      <c r="F45" s="18">
        <v>14</v>
      </c>
      <c r="G45" s="18"/>
      <c r="H45" s="18">
        <v>14</v>
      </c>
      <c r="I45" s="23"/>
      <c r="J45" s="23"/>
      <c r="K45" s="23">
        <v>14</v>
      </c>
      <c r="L45" s="18">
        <f t="shared" si="0"/>
        <v>42</v>
      </c>
      <c r="M45" s="52"/>
    </row>
    <row r="46" spans="1:13">
      <c r="A46" s="10" t="s">
        <v>69</v>
      </c>
      <c r="B46" s="10"/>
      <c r="C46" s="15">
        <f>118.45*3</f>
        <v>355.35</v>
      </c>
      <c r="D46" s="16">
        <v>234</v>
      </c>
      <c r="E46" s="33"/>
      <c r="F46" s="18"/>
      <c r="G46" s="18">
        <v>118.45</v>
      </c>
      <c r="H46" s="18">
        <f>79.94</f>
        <v>79.94</v>
      </c>
      <c r="I46" s="23"/>
      <c r="J46" s="23">
        <v>88.64</v>
      </c>
      <c r="K46" s="23"/>
      <c r="L46" s="18">
        <f t="shared" si="0"/>
        <v>287.02999999999997</v>
      </c>
      <c r="M46" s="52"/>
    </row>
    <row r="47" spans="1:13">
      <c r="A47" s="10" t="s">
        <v>70</v>
      </c>
      <c r="B47" s="10" t="s">
        <v>71</v>
      </c>
      <c r="C47" s="15">
        <v>450</v>
      </c>
      <c r="D47" s="16">
        <v>100</v>
      </c>
      <c r="E47" s="33"/>
      <c r="F47" s="18"/>
      <c r="G47" s="18"/>
      <c r="H47" s="18"/>
      <c r="I47" s="23">
        <v>583</v>
      </c>
      <c r="J47" s="23">
        <v>86</v>
      </c>
      <c r="K47" s="23"/>
      <c r="L47" s="18">
        <f t="shared" si="0"/>
        <v>669</v>
      </c>
      <c r="M47" s="53"/>
    </row>
    <row r="48" spans="1:13">
      <c r="A48" s="10" t="s">
        <v>72</v>
      </c>
      <c r="B48" s="10"/>
      <c r="C48" s="15">
        <v>35</v>
      </c>
      <c r="D48" s="16">
        <v>35</v>
      </c>
      <c r="E48" s="33"/>
      <c r="F48" s="18"/>
      <c r="G48" s="18">
        <v>35</v>
      </c>
      <c r="H48" s="18"/>
      <c r="I48" s="23"/>
      <c r="J48" s="23"/>
      <c r="K48" s="23"/>
      <c r="L48" s="18">
        <f t="shared" si="0"/>
        <v>35</v>
      </c>
      <c r="M48" s="53"/>
    </row>
    <row r="49" spans="1:13">
      <c r="A49" s="10" t="s">
        <v>73</v>
      </c>
      <c r="B49" s="10" t="s">
        <v>74</v>
      </c>
      <c r="C49" s="15">
        <v>15</v>
      </c>
      <c r="D49" s="16">
        <v>41</v>
      </c>
      <c r="E49" s="33"/>
      <c r="F49" s="18"/>
      <c r="G49" s="18"/>
      <c r="H49" s="18"/>
      <c r="I49" s="23">
        <v>78.069999999999993</v>
      </c>
      <c r="J49" s="23"/>
      <c r="K49" s="23"/>
      <c r="L49" s="18">
        <f t="shared" si="0"/>
        <v>78.069999999999993</v>
      </c>
      <c r="M49" s="53"/>
    </row>
    <row r="50" spans="1:13">
      <c r="A50" s="24" t="s">
        <v>26</v>
      </c>
      <c r="B50" s="24" t="s">
        <v>75</v>
      </c>
      <c r="C50" s="15">
        <v>0</v>
      </c>
      <c r="D50" s="16">
        <v>657</v>
      </c>
      <c r="E50" s="35"/>
      <c r="F50" s="18">
        <v>173.53000000000003</v>
      </c>
      <c r="G50" s="18">
        <v>25</v>
      </c>
      <c r="H50" s="18">
        <v>45</v>
      </c>
      <c r="I50" s="23">
        <v>179.63</v>
      </c>
      <c r="J50" s="23">
        <v>12</v>
      </c>
      <c r="K50" s="23">
        <v>31.189999999999998</v>
      </c>
      <c r="L50" s="18">
        <f t="shared" si="0"/>
        <v>466.35</v>
      </c>
      <c r="M50" s="53"/>
    </row>
    <row r="51" spans="1:13">
      <c r="A51" s="24" t="s">
        <v>76</v>
      </c>
      <c r="B51" s="24"/>
      <c r="C51" s="15">
        <v>0</v>
      </c>
      <c r="D51" s="16">
        <v>55</v>
      </c>
      <c r="E51" s="33"/>
      <c r="F51" s="18"/>
      <c r="G51" s="18"/>
      <c r="H51" s="18"/>
      <c r="I51" s="23"/>
      <c r="J51" s="23"/>
      <c r="K51" s="23"/>
      <c r="L51" s="18">
        <f t="shared" si="0"/>
        <v>0</v>
      </c>
      <c r="M51" s="52"/>
    </row>
    <row r="52" spans="1:13">
      <c r="A52" s="24" t="s">
        <v>77</v>
      </c>
      <c r="B52" s="24" t="s">
        <v>143</v>
      </c>
      <c r="C52" s="15">
        <f>337.68+(12*1.2)</f>
        <v>352.08</v>
      </c>
      <c r="D52" s="16">
        <v>1052</v>
      </c>
      <c r="E52" s="33"/>
      <c r="F52" s="18">
        <v>337.68</v>
      </c>
      <c r="G52" s="18"/>
      <c r="H52" s="18"/>
      <c r="I52" s="23">
        <v>68.16</v>
      </c>
      <c r="J52" s="23"/>
      <c r="K52" s="23"/>
      <c r="L52" s="18">
        <f t="shared" si="0"/>
        <v>405.84000000000003</v>
      </c>
      <c r="M52" s="52"/>
    </row>
    <row r="53" spans="1:13">
      <c r="A53" s="10" t="s">
        <v>79</v>
      </c>
      <c r="B53" s="10"/>
      <c r="C53" s="15">
        <v>500</v>
      </c>
      <c r="D53" s="16">
        <v>0</v>
      </c>
      <c r="E53" s="33"/>
      <c r="F53" s="18"/>
      <c r="G53" s="18"/>
      <c r="H53" s="18"/>
      <c r="I53" s="23"/>
      <c r="J53" s="23"/>
      <c r="K53" s="23"/>
      <c r="L53" s="18">
        <f t="shared" si="0"/>
        <v>0</v>
      </c>
      <c r="M53" s="52"/>
    </row>
    <row r="54" spans="1:13">
      <c r="A54" s="36" t="s">
        <v>80</v>
      </c>
      <c r="B54" s="27"/>
      <c r="C54" s="37">
        <f t="shared" ref="C54:K54" si="1">SUM(C19:C53)</f>
        <v>11340.210000000001</v>
      </c>
      <c r="D54" s="38">
        <f t="shared" si="1"/>
        <v>12287</v>
      </c>
      <c r="E54" s="30">
        <f t="shared" si="1"/>
        <v>154.61000000000001</v>
      </c>
      <c r="F54" s="30">
        <f t="shared" si="1"/>
        <v>2460.08</v>
      </c>
      <c r="G54" s="30">
        <f t="shared" si="1"/>
        <v>1312.66</v>
      </c>
      <c r="H54" s="30">
        <f t="shared" si="1"/>
        <v>2292.71</v>
      </c>
      <c r="I54" s="30">
        <f t="shared" si="1"/>
        <v>1573.1200000000001</v>
      </c>
      <c r="J54" s="30">
        <f t="shared" si="1"/>
        <v>513.56999999999994</v>
      </c>
      <c r="K54" s="30">
        <f t="shared" si="1"/>
        <v>6324.24</v>
      </c>
      <c r="L54" s="30">
        <f>SUM(L17:L53)</f>
        <v>14630.99</v>
      </c>
      <c r="M54" s="50"/>
    </row>
    <row r="55" spans="1:13">
      <c r="A55" s="39" t="s">
        <v>144</v>
      </c>
      <c r="B55" s="40"/>
      <c r="C55" s="41"/>
      <c r="D55" s="41"/>
      <c r="E55" s="42"/>
    </row>
    <row r="56" spans="1:13">
      <c r="A56" s="43" t="s">
        <v>145</v>
      </c>
      <c r="B56" s="44">
        <f>C4</f>
        <v>11417.45</v>
      </c>
      <c r="C56" s="42"/>
      <c r="D56" s="42"/>
      <c r="H56" s="45"/>
    </row>
    <row r="57" spans="1:13">
      <c r="A57" s="43" t="s">
        <v>85</v>
      </c>
      <c r="B57" s="44">
        <f>L16-L4</f>
        <v>11536.719999999998</v>
      </c>
      <c r="C57" s="46"/>
    </row>
    <row r="58" spans="1:13">
      <c r="A58" s="43" t="s">
        <v>86</v>
      </c>
      <c r="B58" s="44">
        <f>L54</f>
        <v>14630.99</v>
      </c>
      <c r="D58" s="47"/>
      <c r="J58" s="42"/>
      <c r="L58" s="42">
        <f>649</f>
        <v>649</v>
      </c>
    </row>
    <row r="59" spans="1:13">
      <c r="A59" s="43" t="s">
        <v>87</v>
      </c>
      <c r="B59" s="48">
        <f>B56+B57-B58</f>
        <v>8323.1799999999985</v>
      </c>
      <c r="E59" s="46"/>
      <c r="F59">
        <f>8.613*14</f>
        <v>120.58199999999999</v>
      </c>
      <c r="H59">
        <f>F60/6</f>
        <v>8.82</v>
      </c>
      <c r="L59">
        <f>F60*12</f>
        <v>635.04</v>
      </c>
    </row>
    <row r="60" spans="1:13">
      <c r="A60" s="49" t="s">
        <v>146</v>
      </c>
      <c r="B60" s="44"/>
      <c r="F60">
        <f>8.82*6</f>
        <v>52.92</v>
      </c>
      <c r="H60">
        <f>H59*14</f>
        <v>123.48</v>
      </c>
      <c r="L60">
        <f>H60*12</f>
        <v>1481.76</v>
      </c>
    </row>
    <row r="61" spans="1:13">
      <c r="A61" s="43" t="s">
        <v>89</v>
      </c>
      <c r="B61" s="44">
        <v>4888.17</v>
      </c>
      <c r="D61" s="47"/>
      <c r="F61">
        <f>F59-F60</f>
        <v>67.661999999999992</v>
      </c>
      <c r="G61">
        <f>F61*12</f>
        <v>811.94399999999996</v>
      </c>
      <c r="H61">
        <f>H60-F60</f>
        <v>70.56</v>
      </c>
      <c r="I61">
        <f>H61*12</f>
        <v>846.72</v>
      </c>
      <c r="L61" s="42">
        <f>L60-L58</f>
        <v>832.76</v>
      </c>
    </row>
    <row r="62" spans="1:13">
      <c r="A62" s="43" t="s">
        <v>90</v>
      </c>
      <c r="B62" s="44">
        <v>5720.64</v>
      </c>
      <c r="D62" s="47"/>
    </row>
    <row r="63" spans="1:13">
      <c r="A63" s="43" t="s">
        <v>147</v>
      </c>
      <c r="B63" s="44">
        <v>1756.51</v>
      </c>
      <c r="D63" s="47"/>
      <c r="J63" s="46"/>
    </row>
    <row r="64" spans="1:13">
      <c r="A64" s="47"/>
      <c r="B64" s="48">
        <f>SUM(B61:B63)</f>
        <v>12365.320000000002</v>
      </c>
      <c r="D64" s="47"/>
      <c r="E64" s="47"/>
    </row>
    <row r="65" spans="1:9">
      <c r="B65" s="55"/>
      <c r="D65" t="s">
        <v>148</v>
      </c>
      <c r="G65" s="47">
        <v>6554.68</v>
      </c>
      <c r="H65" s="47"/>
      <c r="I65" s="47"/>
    </row>
    <row r="66" spans="1:9">
      <c r="A66" s="56" t="s">
        <v>149</v>
      </c>
      <c r="B66" s="57">
        <v>4042.14</v>
      </c>
      <c r="D66" t="s">
        <v>150</v>
      </c>
      <c r="G66" s="47">
        <v>1768.5</v>
      </c>
      <c r="H66" s="47"/>
    </row>
    <row r="67" spans="1:9">
      <c r="B67" s="55"/>
      <c r="D67" s="47"/>
      <c r="G67" s="47"/>
    </row>
    <row r="68" spans="1:9">
      <c r="A68" s="58" t="s">
        <v>151</v>
      </c>
      <c r="B68" s="48">
        <f>B64-B66</f>
        <v>8323.1800000000021</v>
      </c>
      <c r="D68" s="47"/>
      <c r="E68" s="47"/>
    </row>
    <row r="69" spans="1:9">
      <c r="B69" s="55"/>
      <c r="H69" s="46"/>
    </row>
    <row r="70" spans="1:9">
      <c r="E70" s="45">
        <f>B61-B66</f>
        <v>846.0300000000002</v>
      </c>
      <c r="H70" s="46"/>
    </row>
    <row r="71" spans="1:9">
      <c r="H71" s="45"/>
    </row>
  </sheetData>
  <mergeCells count="1">
    <mergeCell ref="A18:B18"/>
  </mergeCells>
  <pageMargins left="0.69930555555555596" right="0.69930555555555596" top="0.75" bottom="0.75" header="0.3" footer="0.3"/>
  <pageSetup paperSize="9" scale="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Updated 2016 2017 Budget (2)</vt:lpstr>
      <vt:lpstr>exp </vt:lpstr>
      <vt:lpstr>Jonathan 2017-18 Forecast</vt:lpstr>
      <vt:lpstr>2015 2016 summary</vt:lpstr>
      <vt:lpstr>Sheet1</vt:lpstr>
      <vt:lpstr>2014 2015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Kyle</dc:creator>
  <cp:lastModifiedBy>Gill Dawes</cp:lastModifiedBy>
  <cp:lastPrinted>2021-04-29T19:17:16Z</cp:lastPrinted>
  <dcterms:created xsi:type="dcterms:W3CDTF">2015-05-01T09:47:00Z</dcterms:created>
  <dcterms:modified xsi:type="dcterms:W3CDTF">2021-05-18T08:33:17Z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2057-10.2.0.5965</vt:lpwstr>
  </property>
</Properties>
</file>