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Owner\AppData\Local\Microsoft\Windows\INetCache\Content.Outlook\15KVIHDW\"/>
    </mc:Choice>
  </mc:AlternateContent>
  <bookViews>
    <workbookView xWindow="0" yWindow="0" windowWidth="24000" windowHeight="9510" firstSheet="1" activeTab="1"/>
  </bookViews>
  <sheets>
    <sheet name="Updated 2016 2017 Budget (2)" sheetId="8" state="hidden" r:id="rId1"/>
    <sheet name="2016 2017 Budget" sheetId="7" r:id="rId2"/>
    <sheet name="income" sheetId="4" r:id="rId3"/>
    <sheet name="expenditure" sheetId="5" r:id="rId4"/>
    <sheet name="2015 2016 summary" sheetId="2" state="hidden" r:id="rId5"/>
    <sheet name="Sheet1" sheetId="6" state="hidden" r:id="rId6"/>
    <sheet name="2014 2015" sheetId="1" state="hidden" r:id="rId7"/>
  </sheets>
  <externalReferences>
    <externalReference r:id="rId8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4" i="7" l="1"/>
  <c r="P54" i="7"/>
  <c r="O54" i="7"/>
  <c r="P55" i="7" s="1"/>
  <c r="K54" i="7" l="1"/>
  <c r="J54" i="7"/>
  <c r="I54" i="7"/>
  <c r="G30" i="4" l="1"/>
  <c r="H30" i="4"/>
  <c r="I30" i="4"/>
  <c r="J30" i="4"/>
  <c r="K30" i="4"/>
  <c r="L30" i="4"/>
  <c r="M30" i="4"/>
  <c r="N30" i="4"/>
  <c r="O30" i="4"/>
  <c r="F30" i="4"/>
  <c r="P29" i="4"/>
  <c r="P30" i="4" s="1"/>
  <c r="B67" i="7" l="1"/>
  <c r="H41" i="7"/>
  <c r="H33" i="7"/>
  <c r="H38" i="7"/>
  <c r="H44" i="7"/>
  <c r="H35" i="7"/>
  <c r="I32" i="5"/>
  <c r="J32" i="5"/>
  <c r="K32" i="5"/>
  <c r="L32" i="5"/>
  <c r="N32" i="5"/>
  <c r="O32" i="5"/>
  <c r="P32" i="5"/>
  <c r="Q32" i="5"/>
  <c r="G32" i="5"/>
  <c r="S31" i="5"/>
  <c r="B69" i="7" s="1"/>
  <c r="S29" i="5"/>
  <c r="S30" i="5"/>
  <c r="S27" i="5"/>
  <c r="M28" i="5"/>
  <c r="M32" i="5" s="1"/>
  <c r="R28" i="5"/>
  <c r="H28" i="5"/>
  <c r="H32" i="5" s="1"/>
  <c r="R26" i="5"/>
  <c r="S26" i="5" s="1"/>
  <c r="J26" i="5"/>
  <c r="R32" i="5" l="1"/>
  <c r="H49" i="7" s="1"/>
  <c r="S28" i="5"/>
  <c r="S32" i="5" s="1"/>
  <c r="C69" i="7"/>
  <c r="H54" i="7"/>
  <c r="L8" i="7"/>
  <c r="L9" i="7"/>
  <c r="M9" i="7" s="1"/>
  <c r="L11" i="7"/>
  <c r="L12" i="7"/>
  <c r="L13" i="7"/>
  <c r="L14" i="7"/>
  <c r="L16" i="7"/>
  <c r="G10" i="7"/>
  <c r="L10" i="7" s="1"/>
  <c r="M10" i="7" s="1"/>
  <c r="C4" i="7"/>
  <c r="F3" i="4"/>
  <c r="G24" i="4" l="1"/>
  <c r="H24" i="4"/>
  <c r="I24" i="4"/>
  <c r="J24" i="4"/>
  <c r="K24" i="4"/>
  <c r="L24" i="4"/>
  <c r="M24" i="4"/>
  <c r="N24" i="4"/>
  <c r="O24" i="4"/>
  <c r="P24" i="4"/>
  <c r="F24" i="4"/>
  <c r="P23" i="4"/>
  <c r="P22" i="4"/>
  <c r="G18" i="4"/>
  <c r="H18" i="4"/>
  <c r="I18" i="4"/>
  <c r="J18" i="4"/>
  <c r="K18" i="4"/>
  <c r="L18" i="4"/>
  <c r="M18" i="4"/>
  <c r="N18" i="4"/>
  <c r="O18" i="4"/>
  <c r="F18" i="4"/>
  <c r="P17" i="4"/>
  <c r="P16" i="4"/>
  <c r="M51" i="7" l="1"/>
  <c r="L25" i="7"/>
  <c r="M25" i="7" s="1"/>
  <c r="G41" i="7"/>
  <c r="H22" i="5"/>
  <c r="I22" i="5"/>
  <c r="K22" i="5"/>
  <c r="L22" i="5"/>
  <c r="M22" i="5"/>
  <c r="N22" i="5"/>
  <c r="O22" i="5"/>
  <c r="Q22" i="5"/>
  <c r="G22" i="5"/>
  <c r="G42" i="7"/>
  <c r="G38" i="7"/>
  <c r="G34" i="7"/>
  <c r="S17" i="5"/>
  <c r="S18" i="5"/>
  <c r="S19" i="5"/>
  <c r="S20" i="5"/>
  <c r="S21" i="5"/>
  <c r="R16" i="5"/>
  <c r="J16" i="5"/>
  <c r="J22" i="5" s="1"/>
  <c r="G33" i="7" l="1"/>
  <c r="S16" i="5"/>
  <c r="R15" i="5"/>
  <c r="R22" i="5" s="1"/>
  <c r="G49" i="7" s="1"/>
  <c r="G54" i="7" s="1"/>
  <c r="G15" i="7"/>
  <c r="L15" i="7" s="1"/>
  <c r="P14" i="4"/>
  <c r="P15" i="4"/>
  <c r="F6" i="4"/>
  <c r="P13" i="4"/>
  <c r="P18" i="4" l="1"/>
  <c r="P15" i="5"/>
  <c r="P22" i="5" s="1"/>
  <c r="B59" i="7"/>
  <c r="L22" i="7"/>
  <c r="L23" i="7"/>
  <c r="L24" i="7"/>
  <c r="L26" i="7"/>
  <c r="M26" i="7" s="1"/>
  <c r="L27" i="7"/>
  <c r="M27" i="7" s="1"/>
  <c r="L28" i="7"/>
  <c r="M28" i="7" s="1"/>
  <c r="L29" i="7"/>
  <c r="L30" i="7"/>
  <c r="M30" i="7" s="1"/>
  <c r="L31" i="7"/>
  <c r="L32" i="7"/>
  <c r="M32" i="7" s="1"/>
  <c r="L35" i="7"/>
  <c r="M35" i="7" s="1"/>
  <c r="L37" i="7"/>
  <c r="M37" i="7" s="1"/>
  <c r="L38" i="7"/>
  <c r="M38" i="7" s="1"/>
  <c r="L39" i="7"/>
  <c r="M39" i="7" s="1"/>
  <c r="L40" i="7"/>
  <c r="M40" i="7" s="1"/>
  <c r="L42" i="7"/>
  <c r="M42" i="7" s="1"/>
  <c r="L43" i="7"/>
  <c r="M43" i="7" s="1"/>
  <c r="L44" i="7"/>
  <c r="M44" i="7" s="1"/>
  <c r="L46" i="7"/>
  <c r="M46" i="7" s="1"/>
  <c r="L47" i="7"/>
  <c r="M47" i="7" s="1"/>
  <c r="L48" i="7"/>
  <c r="M48" i="7" s="1"/>
  <c r="L50" i="7"/>
  <c r="L52" i="7"/>
  <c r="L53" i="7"/>
  <c r="M53" i="7" s="1"/>
  <c r="G10" i="4"/>
  <c r="H10" i="4"/>
  <c r="I10" i="4"/>
  <c r="J10" i="4"/>
  <c r="K10" i="4"/>
  <c r="L10" i="4"/>
  <c r="M10" i="4"/>
  <c r="N10" i="4"/>
  <c r="O10" i="4"/>
  <c r="F10" i="4"/>
  <c r="G6" i="4"/>
  <c r="H6" i="4"/>
  <c r="H11" i="4" s="1"/>
  <c r="H19" i="4" s="1"/>
  <c r="H25" i="4" s="1"/>
  <c r="H31" i="4" s="1"/>
  <c r="I6" i="4"/>
  <c r="I11" i="4" s="1"/>
  <c r="I19" i="4" s="1"/>
  <c r="I25" i="4" s="1"/>
  <c r="I31" i="4" s="1"/>
  <c r="J6" i="4"/>
  <c r="K6" i="4"/>
  <c r="L6" i="4"/>
  <c r="L11" i="4" s="1"/>
  <c r="L19" i="4" s="1"/>
  <c r="L25" i="4" s="1"/>
  <c r="L31" i="4" s="1"/>
  <c r="M6" i="4"/>
  <c r="M11" i="4" s="1"/>
  <c r="M19" i="4" s="1"/>
  <c r="M25" i="4" s="1"/>
  <c r="M31" i="4" s="1"/>
  <c r="N6" i="4"/>
  <c r="O6" i="4"/>
  <c r="F11" i="4"/>
  <c r="F19" i="4" s="1"/>
  <c r="F25" i="4" s="1"/>
  <c r="F31" i="4" s="1"/>
  <c r="O11" i="4" l="1"/>
  <c r="O19" i="4" s="1"/>
  <c r="O25" i="4" s="1"/>
  <c r="O31" i="4" s="1"/>
  <c r="G11" i="4"/>
  <c r="G19" i="4" s="1"/>
  <c r="G25" i="4" s="1"/>
  <c r="G31" i="4" s="1"/>
  <c r="K11" i="4"/>
  <c r="K19" i="4" s="1"/>
  <c r="K25" i="4" s="1"/>
  <c r="K31" i="4" s="1"/>
  <c r="N11" i="4"/>
  <c r="N19" i="4" s="1"/>
  <c r="N25" i="4" s="1"/>
  <c r="N31" i="4" s="1"/>
  <c r="J11" i="4"/>
  <c r="J19" i="4" s="1"/>
  <c r="J25" i="4" s="1"/>
  <c r="J31" i="4" s="1"/>
  <c r="H11" i="5"/>
  <c r="H12" i="5" s="1"/>
  <c r="H23" i="5" s="1"/>
  <c r="H33" i="5" s="1"/>
  <c r="I11" i="5"/>
  <c r="I12" i="5" s="1"/>
  <c r="I23" i="5" s="1"/>
  <c r="I33" i="5" s="1"/>
  <c r="J11" i="5"/>
  <c r="J12" i="5" s="1"/>
  <c r="J23" i="5" s="1"/>
  <c r="J33" i="5" s="1"/>
  <c r="K11" i="5"/>
  <c r="K12" i="5" s="1"/>
  <c r="K23" i="5" s="1"/>
  <c r="K33" i="5" s="1"/>
  <c r="L11" i="5"/>
  <c r="L12" i="5" s="1"/>
  <c r="L23" i="5" s="1"/>
  <c r="L33" i="5" s="1"/>
  <c r="M11" i="5"/>
  <c r="M12" i="5" s="1"/>
  <c r="M23" i="5" s="1"/>
  <c r="M33" i="5" s="1"/>
  <c r="N11" i="5"/>
  <c r="N12" i="5" s="1"/>
  <c r="N23" i="5" s="1"/>
  <c r="N33" i="5" s="1"/>
  <c r="O11" i="5"/>
  <c r="O12" i="5" s="1"/>
  <c r="O23" i="5" s="1"/>
  <c r="O33" i="5" s="1"/>
  <c r="P11" i="5"/>
  <c r="P12" i="5" s="1"/>
  <c r="P23" i="5" s="1"/>
  <c r="P33" i="5" s="1"/>
  <c r="Q11" i="5"/>
  <c r="Q12" i="5" s="1"/>
  <c r="Q23" i="5" s="1"/>
  <c r="Q33" i="5" s="1"/>
  <c r="R11" i="5"/>
  <c r="R12" i="5" s="1"/>
  <c r="R23" i="5" s="1"/>
  <c r="R33" i="5" s="1"/>
  <c r="G11" i="5"/>
  <c r="G12" i="5" s="1"/>
  <c r="G23" i="5" s="1"/>
  <c r="G33" i="5" s="1"/>
  <c r="F49" i="7"/>
  <c r="L49" i="7" s="1"/>
  <c r="F45" i="7"/>
  <c r="L45" i="7" s="1"/>
  <c r="F41" i="7"/>
  <c r="L41" i="7" s="1"/>
  <c r="M41" i="7" s="1"/>
  <c r="F36" i="7"/>
  <c r="L36" i="7" s="1"/>
  <c r="M36" i="7" s="1"/>
  <c r="F34" i="7"/>
  <c r="L34" i="7" s="1"/>
  <c r="M34" i="7" s="1"/>
  <c r="F33" i="7"/>
  <c r="L33" i="7" s="1"/>
  <c r="M33" i="7" s="1"/>
  <c r="F21" i="7"/>
  <c r="L21" i="7" s="1"/>
  <c r="M21" i="7" s="1"/>
  <c r="F7" i="7"/>
  <c r="F6" i="7"/>
  <c r="L6" i="7" s="1"/>
  <c r="L7" i="7" l="1"/>
  <c r="M7" i="7" s="1"/>
  <c r="F17" i="7"/>
  <c r="F54" i="7"/>
  <c r="L54" i="7" s="1"/>
  <c r="D54" i="7"/>
  <c r="E54" i="7"/>
  <c r="B61" i="7" l="1"/>
  <c r="N38" i="7"/>
  <c r="N55" i="7" s="1"/>
  <c r="G17" i="7"/>
  <c r="H17" i="7"/>
  <c r="I17" i="7"/>
  <c r="J17" i="7"/>
  <c r="K17" i="7"/>
  <c r="M6" i="7"/>
  <c r="L5" i="7"/>
  <c r="L17" i="7" s="1"/>
  <c r="L4" i="7"/>
  <c r="D12" i="7"/>
  <c r="M12" i="7" s="1"/>
  <c r="C45" i="7" l="1"/>
  <c r="C54" i="7" l="1"/>
  <c r="C55" i="7" s="1"/>
  <c r="M54" i="7" s="1"/>
  <c r="M45" i="7"/>
  <c r="B60" i="7"/>
  <c r="C62" i="7" s="1"/>
  <c r="L47" i="8"/>
  <c r="L35" i="8"/>
  <c r="K66" i="8"/>
  <c r="C66" i="8"/>
  <c r="K65" i="8"/>
  <c r="K67" i="8" s="1"/>
  <c r="C65" i="8"/>
  <c r="D65" i="8" s="1"/>
  <c r="M55" i="8"/>
  <c r="D55" i="8"/>
  <c r="K54" i="8"/>
  <c r="K53" i="8"/>
  <c r="K52" i="8"/>
  <c r="I51" i="8"/>
  <c r="I55" i="8" s="1"/>
  <c r="H51" i="8"/>
  <c r="G51" i="8"/>
  <c r="F51" i="8"/>
  <c r="E51" i="8"/>
  <c r="K50" i="8"/>
  <c r="K49" i="8"/>
  <c r="K48" i="8"/>
  <c r="L55" i="8"/>
  <c r="F47" i="8"/>
  <c r="K47" i="8" s="1"/>
  <c r="C47" i="8"/>
  <c r="K46" i="8"/>
  <c r="K45" i="8"/>
  <c r="K44" i="8"/>
  <c r="K43" i="8"/>
  <c r="J42" i="8"/>
  <c r="J55" i="8" s="1"/>
  <c r="G42" i="8"/>
  <c r="K41" i="8"/>
  <c r="E40" i="8"/>
  <c r="K40" i="8" s="1"/>
  <c r="K39" i="8"/>
  <c r="E38" i="8"/>
  <c r="K38" i="8" s="1"/>
  <c r="K37" i="8"/>
  <c r="K36" i="8"/>
  <c r="F35" i="8"/>
  <c r="E34" i="8"/>
  <c r="K34" i="8" s="1"/>
  <c r="H33" i="8"/>
  <c r="H55" i="8" s="1"/>
  <c r="G33" i="8"/>
  <c r="E33" i="8"/>
  <c r="K33" i="8" s="1"/>
  <c r="E32" i="8"/>
  <c r="K32" i="8" s="1"/>
  <c r="C32" i="8"/>
  <c r="E31" i="8"/>
  <c r="K31" i="8" s="1"/>
  <c r="C31" i="8"/>
  <c r="C55" i="8" s="1"/>
  <c r="E30" i="8"/>
  <c r="K30" i="8" s="1"/>
  <c r="K29" i="8"/>
  <c r="K28" i="8"/>
  <c r="K27" i="8"/>
  <c r="K26" i="8"/>
  <c r="K25" i="8"/>
  <c r="K24" i="8"/>
  <c r="K23" i="8"/>
  <c r="K22" i="8"/>
  <c r="E21" i="8"/>
  <c r="K21" i="8" s="1"/>
  <c r="L17" i="8"/>
  <c r="K60" i="8" s="1"/>
  <c r="I17" i="8"/>
  <c r="H17" i="8"/>
  <c r="F17" i="8"/>
  <c r="D17" i="8"/>
  <c r="K16" i="8"/>
  <c r="K15" i="8"/>
  <c r="K14" i="8"/>
  <c r="K12" i="8"/>
  <c r="K11" i="8"/>
  <c r="G10" i="8"/>
  <c r="G17" i="8" s="1"/>
  <c r="K9" i="8"/>
  <c r="K8" i="8"/>
  <c r="K7" i="8"/>
  <c r="E6" i="8"/>
  <c r="E17" i="8" s="1"/>
  <c r="C6" i="8"/>
  <c r="C5" i="8"/>
  <c r="K5" i="8" s="1"/>
  <c r="C4" i="8"/>
  <c r="K4" i="8" s="1"/>
  <c r="G55" i="8" l="1"/>
  <c r="K10" i="8"/>
  <c r="C67" i="8"/>
  <c r="K51" i="8"/>
  <c r="J13" i="8" s="1"/>
  <c r="K13" i="8" s="1"/>
  <c r="F55" i="8"/>
  <c r="K35" i="8"/>
  <c r="K61" i="8"/>
  <c r="K6" i="8"/>
  <c r="C17" i="8"/>
  <c r="C59" i="8"/>
  <c r="N17" i="6"/>
  <c r="N25" i="6"/>
  <c r="K17" i="8" l="1"/>
  <c r="C60" i="8" s="1"/>
  <c r="J17" i="8"/>
  <c r="P10" i="6"/>
  <c r="M12" i="6"/>
  <c r="L12" i="6"/>
  <c r="B11" i="6"/>
  <c r="H15" i="6"/>
  <c r="M17" i="8" l="1"/>
  <c r="N12" i="8" s="1"/>
  <c r="K59" i="8"/>
  <c r="K62" i="8" s="1"/>
  <c r="L65" i="8" s="1"/>
  <c r="C55" i="2"/>
  <c r="C61" i="2"/>
  <c r="B64" i="2"/>
  <c r="H14" i="2"/>
  <c r="L58" i="1" l="1"/>
  <c r="F60" i="1" l="1"/>
  <c r="L59" i="1" s="1"/>
  <c r="F59" i="1"/>
  <c r="F61" i="1" s="1"/>
  <c r="G61" i="1" s="1"/>
  <c r="F62" i="2"/>
  <c r="L20" i="2"/>
  <c r="L21" i="2"/>
  <c r="L22" i="2"/>
  <c r="L23" i="2"/>
  <c r="L24" i="2"/>
  <c r="L25" i="2"/>
  <c r="L26" i="2"/>
  <c r="L27" i="2"/>
  <c r="L28" i="2"/>
  <c r="L29" i="2"/>
  <c r="L36" i="2"/>
  <c r="L37" i="2"/>
  <c r="L39" i="2"/>
  <c r="L41" i="2"/>
  <c r="L43" i="2"/>
  <c r="L44" i="2"/>
  <c r="L45" i="2"/>
  <c r="L46" i="2"/>
  <c r="L48" i="2"/>
  <c r="L49" i="2"/>
  <c r="L50" i="2"/>
  <c r="L52" i="2"/>
  <c r="L53" i="2"/>
  <c r="L54" i="2"/>
  <c r="J51" i="2"/>
  <c r="I51" i="2"/>
  <c r="I33" i="2"/>
  <c r="I16" i="2"/>
  <c r="J16" i="2"/>
  <c r="K16" i="2"/>
  <c r="L6" i="2"/>
  <c r="L7" i="2"/>
  <c r="L8" i="2"/>
  <c r="L9" i="2"/>
  <c r="L10" i="2"/>
  <c r="L11" i="2"/>
  <c r="L12" i="2"/>
  <c r="L14" i="2"/>
  <c r="L15" i="2"/>
  <c r="H13" i="2"/>
  <c r="H16" i="2" s="1"/>
  <c r="H59" i="1" l="1"/>
  <c r="H60" i="1" s="1"/>
  <c r="L13" i="2"/>
  <c r="I62" i="2"/>
  <c r="G51" i="2"/>
  <c r="G47" i="2"/>
  <c r="L47" i="2" s="1"/>
  <c r="F38" i="2"/>
  <c r="L38" i="2" s="1"/>
  <c r="F40" i="2"/>
  <c r="L40" i="2" s="1"/>
  <c r="G35" i="2"/>
  <c r="L35" i="2" s="1"/>
  <c r="N16" i="2"/>
  <c r="L60" i="1" l="1"/>
  <c r="L61" i="1" s="1"/>
  <c r="H61" i="1"/>
  <c r="I61" i="1" s="1"/>
  <c r="C17" i="7"/>
  <c r="M17" i="7" s="1"/>
  <c r="D17" i="7"/>
  <c r="G55" i="2"/>
  <c r="F51" i="2"/>
  <c r="L51" i="2" s="1"/>
  <c r="F34" i="2"/>
  <c r="L34" i="2" s="1"/>
  <c r="F33" i="2"/>
  <c r="L33" i="2" s="1"/>
  <c r="F32" i="2"/>
  <c r="L32" i="2" s="1"/>
  <c r="F31" i="2"/>
  <c r="L31" i="2" s="1"/>
  <c r="F30" i="2"/>
  <c r="L30" i="2" s="1"/>
  <c r="F19" i="2"/>
  <c r="L19" i="2" s="1"/>
  <c r="F5" i="2"/>
  <c r="S5" i="5"/>
  <c r="S6" i="5"/>
  <c r="S7" i="5"/>
  <c r="S8" i="5"/>
  <c r="S9" i="5"/>
  <c r="S10" i="5"/>
  <c r="S14" i="5"/>
  <c r="S22" i="5" s="1"/>
  <c r="S15" i="5"/>
  <c r="S4" i="5"/>
  <c r="P9" i="4"/>
  <c r="P8" i="4"/>
  <c r="P10" i="4" s="1"/>
  <c r="P5" i="4"/>
  <c r="P4" i="4"/>
  <c r="S11" i="5" l="1"/>
  <c r="S12" i="5" s="1"/>
  <c r="S23" i="5" s="1"/>
  <c r="S33" i="5" s="1"/>
  <c r="P6" i="4"/>
  <c r="C18" i="7"/>
  <c r="P11" i="4" l="1"/>
  <c r="P19" i="4" s="1"/>
  <c r="P25" i="4" s="1"/>
  <c r="P31" i="4" s="1"/>
  <c r="D4" i="2"/>
  <c r="B57" i="2" s="1"/>
  <c r="B65" i="2"/>
  <c r="D47" i="2"/>
  <c r="K55" i="2"/>
  <c r="J55" i="2"/>
  <c r="E55" i="2"/>
  <c r="D32" i="2"/>
  <c r="D31" i="2"/>
  <c r="G16" i="2"/>
  <c r="E16" i="2"/>
  <c r="F16" i="2"/>
  <c r="L5" i="2"/>
  <c r="D5" i="2"/>
  <c r="C4" i="1"/>
  <c r="B56" i="1" s="1"/>
  <c r="L4" i="1"/>
  <c r="C5" i="1"/>
  <c r="E5" i="1"/>
  <c r="L5" i="1" s="1"/>
  <c r="H6" i="1"/>
  <c r="H16" i="1" s="1"/>
  <c r="C7" i="1"/>
  <c r="J7" i="1"/>
  <c r="L7" i="1" s="1"/>
  <c r="L8" i="1"/>
  <c r="K9" i="1"/>
  <c r="L9" i="1" s="1"/>
  <c r="K12" i="1"/>
  <c r="L12" i="1" s="1"/>
  <c r="J13" i="1"/>
  <c r="D14" i="1"/>
  <c r="F14" i="1"/>
  <c r="F16" i="1" s="1"/>
  <c r="J14" i="1"/>
  <c r="C15" i="1"/>
  <c r="I15" i="1"/>
  <c r="L15" i="1" s="1"/>
  <c r="D16" i="1"/>
  <c r="G16" i="1"/>
  <c r="L19" i="1"/>
  <c r="L20" i="1"/>
  <c r="L21" i="1"/>
  <c r="K22" i="1"/>
  <c r="L22" i="1" s="1"/>
  <c r="L23" i="1"/>
  <c r="H24" i="1"/>
  <c r="L24" i="1"/>
  <c r="C25" i="1"/>
  <c r="K25" i="1"/>
  <c r="L25" i="1" s="1"/>
  <c r="K26" i="1"/>
  <c r="L26" i="1" s="1"/>
  <c r="L27" i="1"/>
  <c r="L28" i="1"/>
  <c r="L29" i="1"/>
  <c r="L30" i="1"/>
  <c r="L31" i="1"/>
  <c r="L32" i="1"/>
  <c r="C33" i="1"/>
  <c r="F33" i="1"/>
  <c r="L33" i="1" s="1"/>
  <c r="F34" i="1"/>
  <c r="L34" i="1" s="1"/>
  <c r="C35" i="1"/>
  <c r="F35" i="1"/>
  <c r="K35" i="1"/>
  <c r="L36" i="1"/>
  <c r="F37" i="1"/>
  <c r="K37" i="1"/>
  <c r="C38" i="1"/>
  <c r="E38" i="1"/>
  <c r="E54" i="1" s="1"/>
  <c r="F38" i="1"/>
  <c r="G38" i="1"/>
  <c r="H38" i="1"/>
  <c r="I38" i="1"/>
  <c r="J38" i="1"/>
  <c r="K38" i="1"/>
  <c r="H39" i="1"/>
  <c r="K39" i="1"/>
  <c r="L40" i="1"/>
  <c r="H41" i="1"/>
  <c r="I41" i="1"/>
  <c r="K41" i="1"/>
  <c r="L42" i="1"/>
  <c r="L43" i="1"/>
  <c r="L44" i="1"/>
  <c r="F45" i="1"/>
  <c r="K45" i="1"/>
  <c r="C46" i="1"/>
  <c r="H46" i="1"/>
  <c r="J46" i="1"/>
  <c r="I47" i="1"/>
  <c r="J47" i="1"/>
  <c r="L48" i="1"/>
  <c r="L49" i="1"/>
  <c r="F50" i="1"/>
  <c r="H50" i="1"/>
  <c r="I50" i="1"/>
  <c r="J50" i="1"/>
  <c r="K50" i="1"/>
  <c r="L51" i="1"/>
  <c r="C52" i="1"/>
  <c r="F52" i="1"/>
  <c r="L52" i="1" s="1"/>
  <c r="L53" i="1"/>
  <c r="D54" i="1"/>
  <c r="G54" i="1"/>
  <c r="B64" i="1"/>
  <c r="B66" i="1"/>
  <c r="E70" i="1" s="1"/>
  <c r="C16" i="1" l="1"/>
  <c r="C54" i="1"/>
  <c r="L4" i="2"/>
  <c r="L16" i="2" s="1"/>
  <c r="B58" i="2" s="1"/>
  <c r="L47" i="1"/>
  <c r="L35" i="1"/>
  <c r="L45" i="1"/>
  <c r="I54" i="1"/>
  <c r="B68" i="1"/>
  <c r="L41" i="1"/>
  <c r="L50" i="1"/>
  <c r="I16" i="1"/>
  <c r="L14" i="1"/>
  <c r="J16" i="1"/>
  <c r="L37" i="1"/>
  <c r="F54" i="1"/>
  <c r="L6" i="1"/>
  <c r="L16" i="1" s="1"/>
  <c r="B57" i="1" s="1"/>
  <c r="L38" i="1"/>
  <c r="K16" i="1"/>
  <c r="J54" i="1"/>
  <c r="L46" i="1"/>
  <c r="L39" i="1"/>
  <c r="I55" i="2"/>
  <c r="H55" i="2"/>
  <c r="D55" i="2"/>
  <c r="M5" i="1"/>
  <c r="H54" i="1"/>
  <c r="E16" i="1"/>
  <c r="K54" i="1"/>
  <c r="L54" i="1" l="1"/>
  <c r="B58" i="1" s="1"/>
  <c r="B59" i="1" s="1"/>
  <c r="D16" i="2"/>
  <c r="E42" i="8" l="1"/>
  <c r="K42" i="8" s="1"/>
  <c r="F42" i="2"/>
  <c r="L42" i="2" s="1"/>
  <c r="F55" i="2" l="1"/>
  <c r="L55" i="2" s="1"/>
  <c r="B59" i="2" s="1"/>
  <c r="B60" i="2" s="1"/>
  <c r="C62" i="2" s="1"/>
  <c r="E55" i="8"/>
  <c r="K55" i="8" s="1"/>
  <c r="C61" i="8" s="1"/>
  <c r="C62" i="8" s="1"/>
  <c r="F60" i="2"/>
</calcChain>
</file>

<file path=xl/sharedStrings.xml><?xml version="1.0" encoding="utf-8"?>
<sst xmlns="http://schemas.openxmlformats.org/spreadsheetml/2006/main" count="628" uniqueCount="245">
  <si>
    <t>True Balance 31 March 2015</t>
  </si>
  <si>
    <t>True balance play area funds</t>
  </si>
  <si>
    <t>less outstanding cheques</t>
  </si>
  <si>
    <t>True balance parish council</t>
  </si>
  <si>
    <t>PAG Account</t>
  </si>
  <si>
    <t>Money Manager Account</t>
  </si>
  <si>
    <t>Current Account</t>
  </si>
  <si>
    <t>Balance at Bank:</t>
  </si>
  <si>
    <t>End Balance</t>
  </si>
  <si>
    <t>Less Payments</t>
  </si>
  <si>
    <t>Add receipts</t>
  </si>
  <si>
    <t>Carried Forward</t>
  </si>
  <si>
    <t>Bank reconciliation 31.03.15</t>
  </si>
  <si>
    <t>Total expenditure</t>
  </si>
  <si>
    <t>Contingency</t>
  </si>
  <si>
    <t>Defib instillation &amp; rental</t>
  </si>
  <si>
    <t>Other</t>
  </si>
  <si>
    <t>Play Area Maintenance</t>
  </si>
  <si>
    <t>To be reclaimed</t>
  </si>
  <si>
    <t>VAT</t>
  </si>
  <si>
    <t>Domain Name</t>
  </si>
  <si>
    <t>Website</t>
  </si>
  <si>
    <t>Data Protection</t>
  </si>
  <si>
    <t>land transfer</t>
  </si>
  <si>
    <t>Legal Fees</t>
  </si>
  <si>
    <t>Newsletter</t>
  </si>
  <si>
    <t>Village Hall rent</t>
  </si>
  <si>
    <t xml:space="preserve">Printer  </t>
  </si>
  <si>
    <t>Printer cartridges</t>
  </si>
  <si>
    <t>Equipment</t>
  </si>
  <si>
    <t>Training</t>
  </si>
  <si>
    <t>Stationery</t>
  </si>
  <si>
    <t>Audit</t>
  </si>
  <si>
    <t>Admin</t>
  </si>
  <si>
    <t>Expenses</t>
  </si>
  <si>
    <t>Clerk</t>
  </si>
  <si>
    <t>Employees</t>
  </si>
  <si>
    <t>Tree cutting</t>
  </si>
  <si>
    <t>Tree Risk Assessment</t>
  </si>
  <si>
    <t>Any assets</t>
  </si>
  <si>
    <t>Playground Inspection</t>
  </si>
  <si>
    <t>Grass Cutting</t>
  </si>
  <si>
    <t>Maintenance</t>
  </si>
  <si>
    <t>Play Area</t>
  </si>
  <si>
    <t>Village Hall Insurance</t>
  </si>
  <si>
    <t>Parish Council</t>
  </si>
  <si>
    <t>Insurance</t>
  </si>
  <si>
    <t>Social Committee</t>
  </si>
  <si>
    <t>Others</t>
  </si>
  <si>
    <t>St. Marys Church</t>
  </si>
  <si>
    <t>Lees Hill</t>
  </si>
  <si>
    <t>Village Hall</t>
  </si>
  <si>
    <t>Donations</t>
  </si>
  <si>
    <t>Play Area Days</t>
  </si>
  <si>
    <t>CLP Write up</t>
  </si>
  <si>
    <t>Hall projects (p/year)</t>
  </si>
  <si>
    <t>Camp Out</t>
  </si>
  <si>
    <t>1 CLP Led Project</t>
  </si>
  <si>
    <t>Project Fees</t>
  </si>
  <si>
    <t>CALC</t>
  </si>
  <si>
    <t>Membership fees</t>
  </si>
  <si>
    <t>Budgeted Expenditure  for 2014/15</t>
  </si>
  <si>
    <t>-</t>
  </si>
  <si>
    <t>Total Income</t>
  </si>
  <si>
    <t>Play Days</t>
  </si>
  <si>
    <t>Sales or other</t>
  </si>
  <si>
    <t>Advertising</t>
  </si>
  <si>
    <t>Recycling</t>
  </si>
  <si>
    <t>Project Grants</t>
  </si>
  <si>
    <t>Wayleave</t>
  </si>
  <si>
    <t>Bank Interest</t>
  </si>
  <si>
    <t>Concurrent Services Grant</t>
  </si>
  <si>
    <t>Precept &amp; CTRS</t>
  </si>
  <si>
    <t>Balance carried forward</t>
  </si>
  <si>
    <t>% Variance against budget</t>
  </si>
  <si>
    <t>Total</t>
  </si>
  <si>
    <t>Mar</t>
  </si>
  <si>
    <t>Jan</t>
  </si>
  <si>
    <t>Nov</t>
  </si>
  <si>
    <t>Sept</t>
  </si>
  <si>
    <t>July</t>
  </si>
  <si>
    <t>May</t>
  </si>
  <si>
    <t>April</t>
  </si>
  <si>
    <t>Last yr Actual</t>
  </si>
  <si>
    <t>Budget</t>
  </si>
  <si>
    <t>Income</t>
  </si>
  <si>
    <t>Walton Parish Council</t>
  </si>
  <si>
    <t>2015/16 Budget</t>
  </si>
  <si>
    <t>2014 2015</t>
  </si>
  <si>
    <t>Variance against budget</t>
  </si>
  <si>
    <t>Income and Expenditure Summary to year end 31 March 2016</t>
  </si>
  <si>
    <t>Budgeted Expenditure  for 2015/16</t>
  </si>
  <si>
    <t xml:space="preserve">Income and Expenditure </t>
  </si>
  <si>
    <t>PAYE</t>
  </si>
  <si>
    <t>HMRC</t>
  </si>
  <si>
    <t>Play Area Funds</t>
  </si>
  <si>
    <t>Brought Forward</t>
  </si>
  <si>
    <t>Date</t>
  </si>
  <si>
    <t>Min Ref</t>
  </si>
  <si>
    <t>Received From</t>
  </si>
  <si>
    <t>Details of Receipt</t>
  </si>
  <si>
    <t>B/Fwd</t>
  </si>
  <si>
    <t>Precept</t>
  </si>
  <si>
    <t>Concurrent Services</t>
  </si>
  <si>
    <t>Interest</t>
  </si>
  <si>
    <t>Projects</t>
  </si>
  <si>
    <t>Community Account</t>
  </si>
  <si>
    <t>Money Manager</t>
  </si>
  <si>
    <t>PAG</t>
  </si>
  <si>
    <t>Expenditure</t>
  </si>
  <si>
    <t>Chq No</t>
  </si>
  <si>
    <t>Paid To:</t>
  </si>
  <si>
    <t>Details of Payment</t>
  </si>
  <si>
    <t xml:space="preserve"> Maintenance</t>
  </si>
  <si>
    <t>Salaries &amp; Expenses</t>
  </si>
  <si>
    <t>Audit/Legal Fees</t>
  </si>
  <si>
    <t>S137</t>
  </si>
  <si>
    <t>PAYE HMRC</t>
  </si>
  <si>
    <t>Defib</t>
  </si>
  <si>
    <t>Stationery/Misc</t>
  </si>
  <si>
    <t>Bank reconciliation projected</t>
  </si>
  <si>
    <t>Balance at Bank projected year end</t>
  </si>
  <si>
    <t>non-essential</t>
  </si>
  <si>
    <t>Income and Expenditure Summary for Precept Setting 2016/17</t>
  </si>
  <si>
    <t>Monthly Expenditure to date plus Projection to f/y end</t>
  </si>
  <si>
    <t>Parish Council Money</t>
  </si>
  <si>
    <t>Play Area Reserved</t>
  </si>
  <si>
    <t>ExpectedTotal</t>
  </si>
  <si>
    <t>2016/2017 Proposed Budget</t>
  </si>
  <si>
    <t>Guaranteed Income</t>
  </si>
  <si>
    <t>Estimated Income</t>
  </si>
  <si>
    <t>Essential Expenditure</t>
  </si>
  <si>
    <t xml:space="preserve">Non-Essential </t>
  </si>
  <si>
    <t>Bank reconciliation projected for ye 31 March 2016</t>
  </si>
  <si>
    <t>Bank reconciliation projected for ye 31 March 2017</t>
  </si>
  <si>
    <t xml:space="preserve">Hall projects </t>
  </si>
  <si>
    <t>Administration</t>
  </si>
  <si>
    <t>Grants Fund</t>
  </si>
  <si>
    <t>£8,062 expected expenditure</t>
  </si>
  <si>
    <t>£12,892 anticipated income (incl. reserves)</t>
  </si>
  <si>
    <t>Income and Expenditure Summary 2016/17</t>
  </si>
  <si>
    <t>2016/2017  Budget</t>
  </si>
  <si>
    <t>Balance brought forward</t>
  </si>
  <si>
    <t>Variance</t>
  </si>
  <si>
    <t>2015/16</t>
  </si>
  <si>
    <t>CTRS</t>
  </si>
  <si>
    <t>Carlisle City Council</t>
  </si>
  <si>
    <t>13.04.16</t>
  </si>
  <si>
    <t>01.04.16</t>
  </si>
  <si>
    <t>1.04.16</t>
  </si>
  <si>
    <t>CTRS Grant</t>
  </si>
  <si>
    <t>09.05.16</t>
  </si>
  <si>
    <t>BACS</t>
  </si>
  <si>
    <t>Annual membership</t>
  </si>
  <si>
    <t>Play Inspection Co.</t>
  </si>
  <si>
    <t>Inspection</t>
  </si>
  <si>
    <t>9.05.16</t>
  </si>
  <si>
    <t>Came &amp; Company</t>
  </si>
  <si>
    <t>Croftlands Trust</t>
  </si>
  <si>
    <t>CGM</t>
  </si>
  <si>
    <t>BHA Trees</t>
  </si>
  <si>
    <t>Risk Assessment</t>
  </si>
  <si>
    <t>Stanwix Rural PC</t>
  </si>
  <si>
    <t>Donation Clerk</t>
  </si>
  <si>
    <t>May Meeting</t>
  </si>
  <si>
    <t>July Meeting</t>
  </si>
  <si>
    <t>HSBC</t>
  </si>
  <si>
    <t>Reconciled</t>
  </si>
  <si>
    <t>30.06.16</t>
  </si>
  <si>
    <t>Transparency Grant</t>
  </si>
  <si>
    <t>Walton Village Hall</t>
  </si>
  <si>
    <t>Insurance Repayment</t>
  </si>
  <si>
    <t>Burnetts</t>
  </si>
  <si>
    <t>Land Registry</t>
  </si>
  <si>
    <t>Sarah Kyle</t>
  </si>
  <si>
    <t>Transparency Refund</t>
  </si>
  <si>
    <t>Number</t>
  </si>
  <si>
    <t>R1</t>
  </si>
  <si>
    <t>R2</t>
  </si>
  <si>
    <t>R3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</si>
  <si>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</si>
  <si>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</si>
  <si>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</si>
  <si>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</si>
  <si>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</si>
  <si>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</si>
  <si>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</si>
  <si>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</si>
  <si>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</si>
  <si>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</si>
  <si>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</si>
  <si>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</si>
  <si>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</si>
  <si>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</si>
  <si>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</si>
  <si>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Grass cutting</t>
  </si>
  <si>
    <t>Cumbria Payroll</t>
  </si>
  <si>
    <t>QE June 2016</t>
  </si>
  <si>
    <t>Play Inspection Company</t>
  </si>
  <si>
    <t>September Meeting</t>
  </si>
  <si>
    <t>Electricity Northwest</t>
  </si>
  <si>
    <t>M Murray</t>
  </si>
  <si>
    <t>Donation</t>
  </si>
  <si>
    <t>Waterhead PC</t>
  </si>
  <si>
    <t>11.07.16</t>
  </si>
  <si>
    <t>05.09.16</t>
  </si>
  <si>
    <t>14.06.16</t>
  </si>
  <si>
    <t>27.06.16</t>
  </si>
  <si>
    <t>03.06.16</t>
  </si>
  <si>
    <t>R4</t>
  </si>
  <si>
    <t>R5</t>
  </si>
  <si>
    <t>R6</t>
  </si>
  <si>
    <t>R7</t>
  </si>
  <si>
    <t>12.09.16</t>
  </si>
  <si>
    <t>September</t>
  </si>
  <si>
    <t>P16</t>
  </si>
  <si>
    <t>P17</t>
  </si>
  <si>
    <t>Pension Complaice</t>
  </si>
  <si>
    <t>Q E Sept 2016 &amp; reimb.</t>
  </si>
  <si>
    <t>P19</t>
  </si>
  <si>
    <t>P18</t>
  </si>
  <si>
    <t xml:space="preserve">Q E Sept  </t>
  </si>
  <si>
    <t>P20</t>
  </si>
  <si>
    <t xml:space="preserve">Rental </t>
  </si>
  <si>
    <t>P21</t>
  </si>
  <si>
    <t>Brian Hogg</t>
  </si>
  <si>
    <t>Reimbursements</t>
  </si>
  <si>
    <t>Balance at Bank 19 September 2016</t>
  </si>
  <si>
    <t>less outstanding payments</t>
  </si>
  <si>
    <t>19.09.16</t>
  </si>
  <si>
    <t>Bank reconciliation 19 September 2016*</t>
  </si>
  <si>
    <t>*Reconciled mid-month</t>
  </si>
  <si>
    <t>for end of employment</t>
  </si>
  <si>
    <t>internal mid-year audit</t>
  </si>
  <si>
    <t>25.07.16</t>
  </si>
  <si>
    <t>18.08.16</t>
  </si>
  <si>
    <t>08.09.16</t>
  </si>
  <si>
    <t>November Meeting</t>
  </si>
  <si>
    <t>02.09.16</t>
  </si>
  <si>
    <t>Proposed budget 2017/2018</t>
  </si>
  <si>
    <t>Est. Income</t>
  </si>
  <si>
    <t>Non-essential</t>
  </si>
  <si>
    <t>Playarea</t>
  </si>
  <si>
    <t>Playarea.</t>
  </si>
  <si>
    <t>Expected Expenditure=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</si>
</sst>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£&quot;#,##0;[Red]\-&quot;£&quot;#,##0"/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  <numFmt numFmtId="165" formatCode="&quot;£&quot;#,##0.00"/>
    <numFmt numFmtId="166" formatCode="&quot;£&quot;#,##0"/>
    <numFmt numFmtId="167" formatCode="&quot;£&quot;#,##0.0"/>
  </numFmts>
  <fonts count="31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1"/>
      <color theme="1"/>
      <name val="Calibri"/>
      <family val="2"/>
    </font>
    <font>
      <b/>
      <u val="doubleAccounting"/>
      <sz val="11"/>
      <color theme="1"/>
      <name val="Calibri"/>
      <family val="2"/>
    </font>
    <font>
      <b/>
      <u val="singleAccounting"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u/>
      <sz val="11"/>
      <color theme="1"/>
      <name val="Calibri"/>
      <family val="2"/>
    </font>
    <font>
      <sz val="11"/>
      <color rgb="FF0070C0"/>
      <name val="Calibri"/>
      <family val="2"/>
    </font>
    <font>
      <sz val="11"/>
      <color rgb="FF00B05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u val="singleAccounting"/>
      <sz val="11"/>
      <name val="Calibri"/>
      <family val="2"/>
    </font>
    <font>
      <b/>
      <u val="doubleAccounting"/>
      <sz val="11"/>
      <color rgb="FF000000"/>
      <name val="Calibri"/>
      <family val="2"/>
    </font>
    <font>
      <u val="singleAccounting"/>
      <sz val="11"/>
      <color rgb="FF000000"/>
      <name val="Calibri"/>
      <family val="2"/>
    </font>
    <font>
      <b/>
      <u val="double"/>
      <sz val="11"/>
      <color rgb="FF000000"/>
      <name val="Calibri"/>
      <family val="2"/>
    </font>
    <font>
      <b/>
      <sz val="11"/>
      <color rgb="FF0070C0"/>
      <name val="Calibri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9" tint="-0.249977111117893"/>
      <name val="Calibri"/>
      <family val="2"/>
    </font>
    <font>
      <sz val="11"/>
      <color rgb="FF9C6500"/>
      <name val="Calibri"/>
      <family val="2"/>
      <scheme val="minor"/>
    </font>
    <font>
      <sz val="8"/>
      <color theme="9" tint="-0.249977111117893"/>
      <name val="Arial"/>
      <family val="2"/>
    </font>
    <font>
      <sz val="11"/>
      <color rgb="FF00B05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14" borderId="7" applyNumberFormat="0" applyFont="0" applyAlignment="0" applyProtection="0"/>
  </cellStyleXfs>
  <cellXfs count="241">
    <xf numFmtId="0" fontId="0" fillId="0" borderId="0" xfId="0"/>
    <xf numFmtId="44" fontId="0" fillId="0" borderId="0" xfId="0" applyNumberFormat="1"/>
    <xf numFmtId="1" fontId="0" fillId="0" borderId="0" xfId="0" applyNumberFormat="1"/>
    <xf numFmtId="0" fontId="0" fillId="2" borderId="0" xfId="0" applyFill="1"/>
    <xf numFmtId="2" fontId="0" fillId="0" borderId="0" xfId="0" applyNumberFormat="1"/>
    <xf numFmtId="2" fontId="2" fillId="2" borderId="0" xfId="0" applyNumberFormat="1" applyFont="1" applyFill="1"/>
    <xf numFmtId="0" fontId="0" fillId="0" borderId="0" xfId="0" applyAlignment="1">
      <alignment horizontal="right"/>
    </xf>
    <xf numFmtId="44" fontId="0" fillId="2" borderId="0" xfId="0" applyNumberFormat="1" applyFill="1"/>
    <xf numFmtId="2" fontId="3" fillId="2" borderId="0" xfId="3" applyNumberFormat="1" applyFill="1" applyBorder="1" applyAlignment="1">
      <alignment horizontal="right"/>
    </xf>
    <xf numFmtId="2" fontId="0" fillId="2" borderId="0" xfId="0" applyNumberFormat="1" applyFill="1"/>
    <xf numFmtId="2" fontId="3" fillId="2" borderId="1" xfId="3" applyNumberFormat="1" applyFill="1" applyBorder="1" applyAlignment="1">
      <alignment horizontal="right"/>
    </xf>
    <xf numFmtId="2" fontId="3" fillId="2" borderId="1" xfId="3" applyNumberFormat="1" applyFill="1" applyBorder="1"/>
    <xf numFmtId="164" fontId="0" fillId="0" borderId="0" xfId="0" applyNumberFormat="1"/>
    <xf numFmtId="164" fontId="5" fillId="2" borderId="0" xfId="1" applyNumberFormat="1" applyFont="1" applyFill="1" applyBorder="1" applyAlignment="1">
      <alignment horizontal="center"/>
    </xf>
    <xf numFmtId="2" fontId="3" fillId="2" borderId="0" xfId="3" applyNumberFormat="1" applyFont="1" applyFill="1" applyBorder="1"/>
    <xf numFmtId="2" fontId="6" fillId="2" borderId="1" xfId="3" applyNumberFormat="1" applyFont="1" applyFill="1" applyBorder="1" applyAlignment="1">
      <alignment horizontal="center"/>
    </xf>
    <xf numFmtId="0" fontId="0" fillId="3" borderId="2" xfId="0" applyFill="1" applyBorder="1"/>
    <xf numFmtId="164" fontId="5" fillId="4" borderId="2" xfId="3" applyNumberFormat="1" applyFont="1" applyFill="1" applyBorder="1" applyAlignment="1">
      <alignment wrapText="1"/>
    </xf>
    <xf numFmtId="164" fontId="5" fillId="5" borderId="2" xfId="1" applyNumberFormat="1" applyFont="1" applyFill="1" applyBorder="1" applyAlignment="1">
      <alignment wrapText="1"/>
    </xf>
    <xf numFmtId="164" fontId="5" fillId="4" borderId="2" xfId="1" applyNumberFormat="1" applyFont="1" applyFill="1" applyBorder="1" applyAlignment="1">
      <alignment wrapText="1"/>
    </xf>
    <xf numFmtId="0" fontId="3" fillId="4" borderId="2" xfId="3" applyFont="1" applyFill="1" applyBorder="1" applyAlignment="1">
      <alignment wrapText="1"/>
    </xf>
    <xf numFmtId="0" fontId="3" fillId="4" borderId="2" xfId="3" applyFill="1" applyBorder="1" applyAlignment="1">
      <alignment wrapText="1"/>
    </xf>
    <xf numFmtId="0" fontId="0" fillId="0" borderId="2" xfId="0" applyBorder="1"/>
    <xf numFmtId="164" fontId="0" fillId="0" borderId="2" xfId="0" applyNumberFormat="1" applyBorder="1"/>
    <xf numFmtId="164" fontId="0" fillId="2" borderId="2" xfId="0" applyNumberFormat="1" applyFill="1" applyBorder="1"/>
    <xf numFmtId="164" fontId="7" fillId="0" borderId="2" xfId="0" applyNumberFormat="1" applyFont="1" applyBorder="1"/>
    <xf numFmtId="164" fontId="3" fillId="5" borderId="2" xfId="1" applyNumberFormat="1" applyFont="1" applyFill="1" applyBorder="1" applyAlignment="1">
      <alignment wrapText="1"/>
    </xf>
    <xf numFmtId="164" fontId="3" fillId="6" borderId="2" xfId="1" applyNumberFormat="1" applyFont="1" applyFill="1" applyBorder="1" applyAlignment="1">
      <alignment wrapText="1"/>
    </xf>
    <xf numFmtId="0" fontId="3" fillId="2" borderId="2" xfId="3" applyFont="1" applyFill="1" applyBorder="1" applyAlignment="1">
      <alignment wrapText="1"/>
    </xf>
    <xf numFmtId="0" fontId="3" fillId="2" borderId="2" xfId="3" applyFill="1" applyBorder="1"/>
    <xf numFmtId="0" fontId="0" fillId="2" borderId="2" xfId="0" applyFill="1" applyBorder="1"/>
    <xf numFmtId="164" fontId="7" fillId="2" borderId="2" xfId="0" applyNumberFormat="1" applyFont="1" applyFill="1" applyBorder="1"/>
    <xf numFmtId="0" fontId="3" fillId="2" borderId="2" xfId="3" applyFont="1" applyFill="1" applyBorder="1"/>
    <xf numFmtId="0" fontId="3" fillId="2" borderId="2" xfId="3" applyFill="1" applyBorder="1" applyAlignment="1">
      <alignment wrapText="1"/>
    </xf>
    <xf numFmtId="1" fontId="0" fillId="2" borderId="2" xfId="2" applyNumberFormat="1" applyFont="1" applyFill="1" applyBorder="1"/>
    <xf numFmtId="164" fontId="0" fillId="0" borderId="2" xfId="0" applyNumberFormat="1" applyFont="1" applyBorder="1"/>
    <xf numFmtId="164" fontId="8" fillId="0" borderId="2" xfId="0" applyNumberFormat="1" applyFont="1" applyBorder="1"/>
    <xf numFmtId="164" fontId="3" fillId="4" borderId="2" xfId="3" applyNumberFormat="1" applyFont="1" applyFill="1" applyBorder="1" applyAlignment="1">
      <alignment wrapText="1"/>
    </xf>
    <xf numFmtId="164" fontId="6" fillId="5" borderId="2" xfId="3" applyNumberFormat="1" applyFont="1" applyFill="1" applyBorder="1" applyAlignment="1">
      <alignment wrapText="1"/>
    </xf>
    <xf numFmtId="164" fontId="6" fillId="4" borderId="2" xfId="3" applyNumberFormat="1" applyFont="1" applyFill="1" applyBorder="1" applyAlignment="1">
      <alignment wrapText="1"/>
    </xf>
    <xf numFmtId="0" fontId="5" fillId="4" borderId="2" xfId="3" applyFont="1" applyFill="1" applyBorder="1" applyAlignment="1">
      <alignment wrapText="1"/>
    </xf>
    <xf numFmtId="164" fontId="9" fillId="0" borderId="2" xfId="0" applyNumberFormat="1" applyFont="1" applyBorder="1"/>
    <xf numFmtId="164" fontId="0" fillId="0" borderId="2" xfId="1" applyNumberFormat="1" applyFont="1" applyBorder="1"/>
    <xf numFmtId="164" fontId="3" fillId="2" borderId="2" xfId="3" applyNumberFormat="1" applyFont="1" applyFill="1" applyBorder="1" applyAlignment="1">
      <alignment wrapText="1"/>
    </xf>
    <xf numFmtId="44" fontId="0" fillId="0" borderId="2" xfId="0" applyNumberFormat="1" applyBorder="1"/>
    <xf numFmtId="164" fontId="0" fillId="2" borderId="2" xfId="0" applyNumberFormat="1" applyFont="1" applyFill="1" applyBorder="1"/>
    <xf numFmtId="165" fontId="3" fillId="2" borderId="2" xfId="3" applyNumberFormat="1" applyFont="1" applyFill="1" applyBorder="1" applyAlignment="1">
      <alignment wrapText="1"/>
    </xf>
    <xf numFmtId="164" fontId="0" fillId="3" borderId="2" xfId="0" applyNumberFormat="1" applyFill="1" applyBorder="1"/>
    <xf numFmtId="164" fontId="3" fillId="5" borderId="2" xfId="3" applyNumberFormat="1" applyFont="1" applyFill="1" applyBorder="1" applyAlignment="1">
      <alignment wrapText="1"/>
    </xf>
    <xf numFmtId="164" fontId="3" fillId="6" borderId="2" xfId="3" applyNumberFormat="1" applyFont="1" applyFill="1" applyBorder="1" applyAlignment="1">
      <alignment wrapText="1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5" fillId="5" borderId="2" xfId="3" applyNumberFormat="1" applyFont="1" applyFill="1" applyBorder="1" applyAlignment="1">
      <alignment horizontal="center" wrapText="1"/>
    </xf>
    <xf numFmtId="164" fontId="5" fillId="6" borderId="2" xfId="3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0" fontId="6" fillId="2" borderId="2" xfId="3" applyFont="1" applyFill="1" applyBorder="1" applyAlignment="1">
      <alignment wrapText="1"/>
    </xf>
    <xf numFmtId="0" fontId="11" fillId="0" borderId="0" xfId="0" applyFont="1"/>
    <xf numFmtId="0" fontId="10" fillId="0" borderId="0" xfId="0" applyFont="1" applyBorder="1" applyAlignment="1"/>
    <xf numFmtId="0" fontId="10" fillId="0" borderId="0" xfId="0" applyFont="1"/>
    <xf numFmtId="166" fontId="0" fillId="0" borderId="0" xfId="0" applyNumberFormat="1"/>
    <xf numFmtId="164" fontId="0" fillId="2" borderId="2" xfId="1" applyNumberFormat="1" applyFont="1" applyFill="1" applyBorder="1"/>
    <xf numFmtId="164" fontId="9" fillId="2" borderId="2" xfId="0" applyNumberFormat="1" applyFont="1" applyFill="1" applyBorder="1"/>
    <xf numFmtId="164" fontId="8" fillId="2" borderId="2" xfId="0" applyNumberFormat="1" applyFont="1" applyFill="1" applyBorder="1"/>
    <xf numFmtId="164" fontId="0" fillId="8" borderId="2" xfId="0" applyNumberFormat="1" applyFill="1" applyBorder="1"/>
    <xf numFmtId="44" fontId="3" fillId="7" borderId="2" xfId="1" applyFont="1" applyFill="1" applyBorder="1" applyAlignment="1">
      <alignment wrapText="1"/>
    </xf>
    <xf numFmtId="44" fontId="6" fillId="7" borderId="2" xfId="1" applyFont="1" applyFill="1" applyBorder="1" applyAlignment="1">
      <alignment wrapText="1"/>
    </xf>
    <xf numFmtId="44" fontId="0" fillId="7" borderId="2" xfId="1" applyFont="1" applyFill="1" applyBorder="1" applyAlignment="1">
      <alignment wrapText="1"/>
    </xf>
    <xf numFmtId="44" fontId="0" fillId="2" borderId="0" xfId="1" applyFont="1" applyFill="1"/>
    <xf numFmtId="44" fontId="8" fillId="2" borderId="0" xfId="1" applyFont="1" applyFill="1"/>
    <xf numFmtId="0" fontId="12" fillId="0" borderId="0" xfId="0" applyFont="1" applyAlignment="1">
      <alignment vertical="center" textRotation="45"/>
    </xf>
    <xf numFmtId="0" fontId="13" fillId="0" borderId="0" xfId="0" applyFont="1" applyAlignment="1">
      <alignment vertical="center" textRotation="45"/>
    </xf>
    <xf numFmtId="44" fontId="0" fillId="0" borderId="0" xfId="1" applyFont="1"/>
    <xf numFmtId="44" fontId="0" fillId="0" borderId="0" xfId="1" applyFont="1" applyFill="1" applyBorder="1"/>
    <xf numFmtId="44" fontId="0" fillId="0" borderId="0" xfId="1" applyFont="1" applyBorder="1"/>
    <xf numFmtId="0" fontId="0" fillId="0" borderId="0" xfId="0" applyAlignment="1"/>
    <xf numFmtId="0" fontId="5" fillId="0" borderId="0" xfId="0" applyFont="1"/>
    <xf numFmtId="0" fontId="12" fillId="0" borderId="0" xfId="0" applyFont="1" applyAlignment="1">
      <alignment vertical="center" textRotation="45" wrapText="1"/>
    </xf>
    <xf numFmtId="0" fontId="13" fillId="0" borderId="0" xfId="0" applyFont="1" applyAlignment="1">
      <alignment vertical="center" textRotation="45" wrapText="1"/>
    </xf>
    <xf numFmtId="0" fontId="14" fillId="0" borderId="0" xfId="0" applyFont="1"/>
    <xf numFmtId="44" fontId="14" fillId="0" borderId="0" xfId="0" applyNumberFormat="1" applyFont="1"/>
    <xf numFmtId="0" fontId="0" fillId="2" borderId="0" xfId="0" applyFont="1" applyFill="1"/>
    <xf numFmtId="44" fontId="1" fillId="2" borderId="0" xfId="1" applyFont="1" applyFill="1"/>
    <xf numFmtId="44" fontId="14" fillId="2" borderId="0" xfId="1" applyFont="1" applyFill="1"/>
    <xf numFmtId="0" fontId="10" fillId="2" borderId="0" xfId="0" applyFont="1" applyFill="1"/>
    <xf numFmtId="44" fontId="10" fillId="2" borderId="0" xfId="1" applyFont="1" applyFill="1"/>
    <xf numFmtId="0" fontId="0" fillId="9" borderId="0" xfId="0" applyFill="1"/>
    <xf numFmtId="44" fontId="15" fillId="0" borderId="0" xfId="0" applyNumberFormat="1" applyFont="1"/>
    <xf numFmtId="44" fontId="16" fillId="0" borderId="0" xfId="0" applyNumberFormat="1" applyFont="1"/>
    <xf numFmtId="44" fontId="8" fillId="2" borderId="0" xfId="0" applyNumberFormat="1" applyFont="1" applyFill="1"/>
    <xf numFmtId="164" fontId="3" fillId="7" borderId="2" xfId="1" applyNumberFormat="1" applyFont="1" applyFill="1" applyBorder="1" applyAlignment="1">
      <alignment wrapText="1"/>
    </xf>
    <xf numFmtId="164" fontId="3" fillId="7" borderId="2" xfId="1" applyNumberFormat="1" applyFont="1" applyFill="1" applyBorder="1"/>
    <xf numFmtId="164" fontId="6" fillId="7" borderId="2" xfId="1" applyNumberFormat="1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164" fontId="0" fillId="9" borderId="2" xfId="0" applyNumberFormat="1" applyFill="1" applyBorder="1"/>
    <xf numFmtId="164" fontId="0" fillId="10" borderId="2" xfId="0" applyNumberFormat="1" applyFill="1" applyBorder="1"/>
    <xf numFmtId="164" fontId="0" fillId="9" borderId="2" xfId="0" applyNumberFormat="1" applyFont="1" applyFill="1" applyBorder="1"/>
    <xf numFmtId="164" fontId="10" fillId="8" borderId="2" xfId="0" applyNumberFormat="1" applyFont="1" applyFill="1" applyBorder="1"/>
    <xf numFmtId="165" fontId="0" fillId="0" borderId="0" xfId="0" applyNumberFormat="1"/>
    <xf numFmtId="164" fontId="0" fillId="0" borderId="2" xfId="0" applyNumberFormat="1" applyFill="1" applyBorder="1"/>
    <xf numFmtId="0" fontId="0" fillId="0" borderId="0" xfId="0" applyFill="1"/>
    <xf numFmtId="0" fontId="3" fillId="0" borderId="2" xfId="3" applyFont="1" applyFill="1" applyBorder="1" applyAlignment="1">
      <alignment wrapText="1"/>
    </xf>
    <xf numFmtId="44" fontId="3" fillId="0" borderId="2" xfId="3" applyNumberFormat="1" applyFont="1" applyFill="1" applyBorder="1" applyAlignment="1">
      <alignment wrapText="1"/>
    </xf>
    <xf numFmtId="0" fontId="3" fillId="0" borderId="2" xfId="3" applyFont="1" applyFill="1" applyBorder="1"/>
    <xf numFmtId="0" fontId="3" fillId="0" borderId="2" xfId="3" applyFill="1" applyBorder="1"/>
    <xf numFmtId="44" fontId="0" fillId="0" borderId="0" xfId="0" applyNumberFormat="1" applyBorder="1"/>
    <xf numFmtId="0" fontId="0" fillId="0" borderId="0" xfId="0" applyBorder="1"/>
    <xf numFmtId="0" fontId="0" fillId="2" borderId="0" xfId="0" applyFill="1" applyBorder="1"/>
    <xf numFmtId="0" fontId="10" fillId="0" borderId="2" xfId="0" applyFont="1" applyBorder="1" applyAlignment="1">
      <alignment horizontal="center"/>
    </xf>
    <xf numFmtId="0" fontId="3" fillId="2" borderId="2" xfId="3" applyFont="1" applyFill="1" applyBorder="1" applyAlignment="1">
      <alignment horizontal="right" wrapText="1"/>
    </xf>
    <xf numFmtId="0" fontId="3" fillId="2" borderId="2" xfId="3" applyFill="1" applyBorder="1" applyAlignment="1">
      <alignment horizontal="right" wrapText="1"/>
    </xf>
    <xf numFmtId="0" fontId="3" fillId="2" borderId="2" xfId="3" applyFont="1" applyFill="1" applyBorder="1" applyAlignment="1">
      <alignment horizontal="right"/>
    </xf>
    <xf numFmtId="0" fontId="3" fillId="2" borderId="2" xfId="3" applyFill="1" applyBorder="1" applyAlignment="1">
      <alignment horizontal="right"/>
    </xf>
    <xf numFmtId="164" fontId="0" fillId="8" borderId="0" xfId="0" applyNumberFormat="1" applyFill="1" applyBorder="1"/>
    <xf numFmtId="164" fontId="0" fillId="0" borderId="0" xfId="0" applyNumberFormat="1" applyBorder="1"/>
    <xf numFmtId="2" fontId="3" fillId="2" borderId="2" xfId="3" applyNumberFormat="1" applyFont="1" applyFill="1" applyBorder="1"/>
    <xf numFmtId="0" fontId="17" fillId="7" borderId="2" xfId="0" applyFont="1" applyFill="1" applyBorder="1" applyAlignment="1">
      <alignment horizontal="left"/>
    </xf>
    <xf numFmtId="0" fontId="18" fillId="7" borderId="0" xfId="0" applyFont="1" applyFill="1"/>
    <xf numFmtId="165" fontId="3" fillId="7" borderId="2" xfId="3" applyNumberFormat="1" applyFont="1" applyFill="1" applyBorder="1" applyAlignment="1">
      <alignment wrapText="1"/>
    </xf>
    <xf numFmtId="0" fontId="3" fillId="7" borderId="2" xfId="3" applyFont="1" applyFill="1" applyBorder="1" applyAlignment="1">
      <alignment wrapText="1"/>
    </xf>
    <xf numFmtId="164" fontId="3" fillId="7" borderId="2" xfId="3" applyNumberFormat="1" applyFont="1" applyFill="1" applyBorder="1" applyAlignment="1">
      <alignment wrapText="1"/>
    </xf>
    <xf numFmtId="0" fontId="17" fillId="7" borderId="2" xfId="0" applyFont="1" applyFill="1" applyBorder="1" applyAlignment="1">
      <alignment horizontal="center" wrapText="1"/>
    </xf>
    <xf numFmtId="44" fontId="3" fillId="7" borderId="2" xfId="3" applyNumberFormat="1" applyFont="1" applyFill="1" applyBorder="1" applyAlignment="1">
      <alignment wrapText="1"/>
    </xf>
    <xf numFmtId="0" fontId="3" fillId="7" borderId="2" xfId="3" applyFont="1" applyFill="1" applyBorder="1"/>
    <xf numFmtId="44" fontId="3" fillId="5" borderId="2" xfId="1" applyFont="1" applyFill="1" applyBorder="1" applyAlignment="1">
      <alignment wrapText="1"/>
    </xf>
    <xf numFmtId="44" fontId="6" fillId="5" borderId="2" xfId="1" applyFont="1" applyFill="1" applyBorder="1" applyAlignment="1">
      <alignment wrapText="1"/>
    </xf>
    <xf numFmtId="44" fontId="0" fillId="5" borderId="2" xfId="1" applyFont="1" applyFill="1" applyBorder="1" applyAlignment="1">
      <alignment wrapText="1"/>
    </xf>
    <xf numFmtId="164" fontId="3" fillId="5" borderId="2" xfId="1" applyNumberFormat="1" applyFont="1" applyFill="1" applyBorder="1"/>
    <xf numFmtId="164" fontId="6" fillId="5" borderId="2" xfId="1" applyNumberFormat="1" applyFont="1" applyFill="1" applyBorder="1" applyAlignment="1">
      <alignment wrapText="1"/>
    </xf>
    <xf numFmtId="2" fontId="0" fillId="2" borderId="0" xfId="0" applyNumberFormat="1" applyFill="1" applyBorder="1"/>
    <xf numFmtId="165" fontId="0" fillId="2" borderId="0" xfId="1" applyNumberFormat="1" applyFont="1" applyFill="1" applyBorder="1"/>
    <xf numFmtId="2" fontId="6" fillId="2" borderId="0" xfId="3" applyNumberFormat="1" applyFont="1" applyFill="1" applyBorder="1" applyAlignment="1">
      <alignment horizontal="center"/>
    </xf>
    <xf numFmtId="44" fontId="0" fillId="2" borderId="0" xfId="1" applyFont="1" applyFill="1" applyBorder="1"/>
    <xf numFmtId="2" fontId="0" fillId="0" borderId="0" xfId="0" applyNumberFormat="1" applyBorder="1"/>
    <xf numFmtId="166" fontId="0" fillId="0" borderId="0" xfId="0" applyNumberFormat="1" applyBorder="1"/>
    <xf numFmtId="44" fontId="8" fillId="2" borderId="0" xfId="1" applyFont="1" applyFill="1" applyBorder="1"/>
    <xf numFmtId="165" fontId="0" fillId="0" borderId="0" xfId="0" applyNumberFormat="1" applyBorder="1"/>
    <xf numFmtId="0" fontId="0" fillId="0" borderId="0" xfId="0" applyBorder="1" applyAlignment="1">
      <alignment horizontal="right"/>
    </xf>
    <xf numFmtId="2" fontId="2" fillId="2" borderId="0" xfId="0" applyNumberFormat="1" applyFont="1" applyFill="1" applyBorder="1"/>
    <xf numFmtId="1" fontId="0" fillId="0" borderId="0" xfId="0" applyNumberFormat="1" applyBorder="1"/>
    <xf numFmtId="0" fontId="10" fillId="2" borderId="2" xfId="0" applyFont="1" applyFill="1" applyBorder="1" applyAlignment="1">
      <alignment horizontal="left"/>
    </xf>
    <xf numFmtId="167" fontId="3" fillId="7" borderId="2" xfId="3" applyNumberFormat="1" applyFont="1" applyFill="1" applyBorder="1" applyAlignment="1">
      <alignment wrapText="1"/>
    </xf>
    <xf numFmtId="44" fontId="8" fillId="2" borderId="0" xfId="1" applyNumberFormat="1" applyFont="1" applyFill="1" applyBorder="1"/>
    <xf numFmtId="44" fontId="18" fillId="7" borderId="0" xfId="0" applyNumberFormat="1" applyFont="1" applyFill="1"/>
    <xf numFmtId="3" fontId="19" fillId="0" borderId="0" xfId="0" applyNumberFormat="1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6" fontId="0" fillId="0" borderId="0" xfId="0" applyNumberFormat="1"/>
    <xf numFmtId="6" fontId="19" fillId="0" borderId="0" xfId="0" applyNumberFormat="1" applyFont="1" applyAlignment="1">
      <alignment horizontal="justify" vertical="center"/>
    </xf>
    <xf numFmtId="167" fontId="0" fillId="0" borderId="0" xfId="0" applyNumberFormat="1"/>
    <xf numFmtId="0" fontId="6" fillId="7" borderId="4" xfId="3" applyFont="1" applyFill="1" applyBorder="1" applyAlignment="1">
      <alignment horizontal="center" wrapText="1"/>
    </xf>
    <xf numFmtId="0" fontId="3" fillId="7" borderId="5" xfId="3" applyFont="1" applyFill="1" applyBorder="1" applyAlignment="1">
      <alignment horizontal="center" wrapText="1"/>
    </xf>
    <xf numFmtId="165" fontId="3" fillId="9" borderId="2" xfId="3" applyNumberFormat="1" applyFont="1" applyFill="1" applyBorder="1" applyAlignment="1">
      <alignment wrapText="1"/>
    </xf>
    <xf numFmtId="0" fontId="17" fillId="11" borderId="2" xfId="0" applyFont="1" applyFill="1" applyBorder="1" applyAlignment="1">
      <alignment horizontal="left"/>
    </xf>
    <xf numFmtId="0" fontId="17" fillId="11" borderId="2" xfId="0" applyFont="1" applyFill="1" applyBorder="1" applyAlignment="1">
      <alignment horizontal="center" wrapText="1"/>
    </xf>
    <xf numFmtId="44" fontId="18" fillId="11" borderId="0" xfId="1" applyFont="1" applyFill="1"/>
    <xf numFmtId="44" fontId="3" fillId="11" borderId="2" xfId="1" applyFont="1" applyFill="1" applyBorder="1" applyAlignment="1">
      <alignment wrapText="1"/>
    </xf>
    <xf numFmtId="44" fontId="18" fillId="11" borderId="2" xfId="1" applyFont="1" applyFill="1" applyBorder="1"/>
    <xf numFmtId="44" fontId="3" fillId="11" borderId="2" xfId="1" applyFont="1" applyFill="1" applyBorder="1"/>
    <xf numFmtId="164" fontId="18" fillId="2" borderId="2" xfId="0" applyNumberFormat="1" applyFont="1" applyFill="1" applyBorder="1"/>
    <xf numFmtId="0" fontId="18" fillId="2" borderId="0" xfId="0" applyFont="1" applyFill="1"/>
    <xf numFmtId="164" fontId="18" fillId="2" borderId="2" xfId="1" applyNumberFormat="1" applyFont="1" applyFill="1" applyBorder="1"/>
    <xf numFmtId="164" fontId="20" fillId="2" borderId="2" xfId="0" applyNumberFormat="1" applyFont="1" applyFill="1" applyBorder="1"/>
    <xf numFmtId="0" fontId="2" fillId="0" borderId="2" xfId="0" applyFont="1" applyFill="1" applyBorder="1" applyAlignment="1">
      <alignment horizontal="center"/>
    </xf>
    <xf numFmtId="44" fontId="5" fillId="11" borderId="2" xfId="1" applyFont="1" applyFill="1" applyBorder="1" applyAlignment="1">
      <alignment wrapText="1"/>
    </xf>
    <xf numFmtId="0" fontId="2" fillId="13" borderId="2" xfId="0" applyFont="1" applyFill="1" applyBorder="1" applyAlignment="1">
      <alignment horizontal="center"/>
    </xf>
    <xf numFmtId="44" fontId="18" fillId="13" borderId="2" xfId="1" applyFont="1" applyFill="1" applyBorder="1"/>
    <xf numFmtId="44" fontId="0" fillId="13" borderId="2" xfId="1" applyFont="1" applyFill="1" applyBorder="1"/>
    <xf numFmtId="0" fontId="0" fillId="13" borderId="2" xfId="0" applyFill="1" applyBorder="1"/>
    <xf numFmtId="44" fontId="5" fillId="13" borderId="2" xfId="1" applyFont="1" applyFill="1" applyBorder="1" applyAlignment="1">
      <alignment horizontal="center" wrapText="1"/>
    </xf>
    <xf numFmtId="0" fontId="6" fillId="2" borderId="4" xfId="3" applyFont="1" applyFill="1" applyBorder="1" applyAlignment="1">
      <alignment horizontal="center" wrapText="1"/>
    </xf>
    <xf numFmtId="0" fontId="3" fillId="2" borderId="5" xfId="3" applyFont="1" applyFill="1" applyBorder="1" applyAlignment="1">
      <alignment horizontal="center" wrapText="1"/>
    </xf>
    <xf numFmtId="44" fontId="6" fillId="11" borderId="2" xfId="1" applyFont="1" applyFill="1" applyBorder="1" applyAlignment="1">
      <alignment horizontal="center"/>
    </xf>
    <xf numFmtId="44" fontId="0" fillId="13" borderId="1" xfId="1" applyFont="1" applyFill="1" applyBorder="1"/>
    <xf numFmtId="2" fontId="3" fillId="12" borderId="0" xfId="3" applyNumberFormat="1" applyFont="1" applyFill="1" applyBorder="1"/>
    <xf numFmtId="44" fontId="0" fillId="12" borderId="0" xfId="1" applyFont="1" applyFill="1" applyBorder="1"/>
    <xf numFmtId="44" fontId="21" fillId="12" borderId="0" xfId="1" applyFont="1" applyFill="1" applyBorder="1"/>
    <xf numFmtId="2" fontId="0" fillId="0" borderId="0" xfId="0" applyNumberFormat="1" applyFont="1" applyFill="1" applyBorder="1"/>
    <xf numFmtId="0" fontId="0" fillId="0" borderId="0" xfId="0" applyFont="1" applyFill="1" applyBorder="1"/>
    <xf numFmtId="0" fontId="0" fillId="12" borderId="0" xfId="0" applyFont="1" applyFill="1" applyBorder="1"/>
    <xf numFmtId="2" fontId="3" fillId="12" borderId="0" xfId="3" applyNumberFormat="1" applyFont="1" applyFill="1" applyBorder="1" applyAlignment="1">
      <alignment horizontal="right"/>
    </xf>
    <xf numFmtId="44" fontId="22" fillId="12" borderId="0" xfId="0" applyNumberFormat="1" applyFont="1" applyFill="1" applyBorder="1"/>
    <xf numFmtId="0" fontId="0" fillId="0" borderId="0" xfId="0" applyFont="1" applyFill="1" applyBorder="1" applyAlignment="1">
      <alignment horizontal="right"/>
    </xf>
    <xf numFmtId="44" fontId="23" fillId="12" borderId="0" xfId="1" applyFont="1" applyFill="1" applyBorder="1"/>
    <xf numFmtId="0" fontId="10" fillId="2" borderId="3" xfId="0" applyFont="1" applyFill="1" applyBorder="1" applyAlignment="1">
      <alignment horizontal="center"/>
    </xf>
    <xf numFmtId="0" fontId="2" fillId="2" borderId="0" xfId="0" applyFont="1" applyFill="1"/>
    <xf numFmtId="44" fontId="24" fillId="2" borderId="6" xfId="1" applyFont="1" applyFill="1" applyBorder="1"/>
    <xf numFmtId="164" fontId="25" fillId="4" borderId="2" xfId="3" applyNumberFormat="1" applyFont="1" applyFill="1" applyBorder="1" applyAlignment="1">
      <alignment wrapText="1"/>
    </xf>
    <xf numFmtId="44" fontId="1" fillId="2" borderId="2" xfId="1" applyFont="1" applyFill="1" applyBorder="1"/>
    <xf numFmtId="0" fontId="2" fillId="0" borderId="0" xfId="0" applyFont="1"/>
    <xf numFmtId="44" fontId="24" fillId="0" borderId="6" xfId="1" applyFont="1" applyBorder="1"/>
    <xf numFmtId="44" fontId="26" fillId="0" borderId="0" xfId="1" applyFont="1"/>
    <xf numFmtId="44" fontId="26" fillId="0" borderId="0" xfId="0" applyNumberFormat="1" applyFont="1"/>
    <xf numFmtId="44" fontId="26" fillId="2" borderId="0" xfId="1" applyFont="1" applyFill="1"/>
    <xf numFmtId="0" fontId="0" fillId="0" borderId="0" xfId="0" applyFont="1" applyFill="1" applyBorder="1" applyAlignment="1">
      <alignment horizontal="right" wrapText="1"/>
    </xf>
    <xf numFmtId="9" fontId="0" fillId="0" borderId="2" xfId="2" applyFont="1" applyBorder="1"/>
    <xf numFmtId="0" fontId="29" fillId="0" borderId="0" xfId="0" applyFont="1" applyAlignment="1">
      <alignment vertical="center" textRotation="45"/>
    </xf>
    <xf numFmtId="0" fontId="27" fillId="0" borderId="0" xfId="0" applyFont="1"/>
    <xf numFmtId="44" fontId="27" fillId="0" borderId="0" xfId="0" applyNumberFormat="1" applyFont="1"/>
    <xf numFmtId="44" fontId="8" fillId="2" borderId="0" xfId="0" applyNumberFormat="1" applyFont="1" applyFill="1" applyBorder="1"/>
    <xf numFmtId="44" fontId="22" fillId="12" borderId="0" xfId="1" applyFont="1" applyFill="1" applyBorder="1"/>
    <xf numFmtId="2" fontId="6" fillId="12" borderId="0" xfId="3" applyNumberFormat="1" applyFont="1" applyFill="1" applyBorder="1" applyAlignment="1">
      <alignment horizontal="center"/>
    </xf>
    <xf numFmtId="0" fontId="0" fillId="14" borderId="7" xfId="4" applyFont="1"/>
    <xf numFmtId="44" fontId="0" fillId="14" borderId="7" xfId="4" applyNumberFormat="1" applyFont="1"/>
    <xf numFmtId="0" fontId="28" fillId="14" borderId="7" xfId="4" applyFont="1"/>
    <xf numFmtId="44" fontId="28" fillId="14" borderId="7" xfId="4" applyNumberFormat="1" applyFont="1"/>
    <xf numFmtId="0" fontId="16" fillId="0" borderId="0" xfId="0" applyFont="1"/>
    <xf numFmtId="0" fontId="16" fillId="0" borderId="0" xfId="0" applyFont="1" applyAlignment="1">
      <alignment horizontal="right"/>
    </xf>
    <xf numFmtId="0" fontId="16" fillId="14" borderId="7" xfId="4" applyFont="1" applyAlignment="1">
      <alignment horizontal="right"/>
    </xf>
    <xf numFmtId="44" fontId="16" fillId="0" borderId="0" xfId="0" applyNumberFormat="1" applyFont="1" applyAlignment="1">
      <alignment horizontal="right"/>
    </xf>
    <xf numFmtId="0" fontId="30" fillId="14" borderId="7" xfId="4" applyFont="1" applyAlignment="1">
      <alignment horizontal="right"/>
    </xf>
    <xf numFmtId="44" fontId="0" fillId="2" borderId="2" xfId="0" applyNumberFormat="1" applyFill="1" applyBorder="1"/>
    <xf numFmtId="2" fontId="6" fillId="15" borderId="0" xfId="3" applyNumberFormat="1" applyFont="1" applyFill="1" applyBorder="1" applyAlignment="1">
      <alignment horizontal="center"/>
    </xf>
    <xf numFmtId="0" fontId="0" fillId="0" borderId="0" xfId="0" applyFont="1"/>
    <xf numFmtId="164" fontId="11" fillId="2" borderId="2" xfId="0" applyNumberFormat="1" applyFont="1" applyFill="1" applyBorder="1"/>
    <xf numFmtId="0" fontId="2" fillId="0" borderId="8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12" borderId="1" xfId="0" applyNumberFormat="1" applyFont="1" applyFill="1" applyBorder="1" applyAlignment="1">
      <alignment horizontal="right"/>
    </xf>
    <xf numFmtId="44" fontId="0" fillId="2" borderId="1" xfId="0" applyNumberFormat="1" applyFill="1" applyBorder="1" applyAlignment="1">
      <alignment horizontal="right"/>
    </xf>
    <xf numFmtId="44" fontId="1" fillId="2" borderId="1" xfId="1" applyFont="1" applyFill="1" applyBorder="1" applyAlignment="1">
      <alignment horizontal="right"/>
    </xf>
    <xf numFmtId="44" fontId="11" fillId="0" borderId="1" xfId="0" applyNumberFormat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left"/>
    </xf>
    <xf numFmtId="2" fontId="6" fillId="7" borderId="2" xfId="3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10" borderId="3" xfId="0" applyFont="1" applyFill="1" applyBorder="1" applyAlignment="1">
      <alignment horizontal="center"/>
    </xf>
    <xf numFmtId="0" fontId="6" fillId="7" borderId="4" xfId="3" applyFont="1" applyFill="1" applyBorder="1" applyAlignment="1">
      <alignment horizontal="center" wrapText="1"/>
    </xf>
    <xf numFmtId="0" fontId="3" fillId="7" borderId="5" xfId="3" applyFont="1" applyFill="1" applyBorder="1" applyAlignment="1">
      <alignment horizontal="center" wrapText="1"/>
    </xf>
    <xf numFmtId="0" fontId="5" fillId="2" borderId="2" xfId="3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0" fillId="2" borderId="3" xfId="0" applyFont="1" applyFill="1" applyBorder="1" applyAlignment="1">
      <alignment horizontal="center"/>
    </xf>
    <xf numFmtId="44" fontId="5" fillId="11" borderId="6" xfId="1" applyFont="1" applyFill="1" applyBorder="1" applyAlignment="1">
      <alignment horizontal="center" wrapText="1"/>
    </xf>
    <xf numFmtId="44" fontId="5" fillId="11" borderId="5" xfId="1" applyFont="1" applyFill="1" applyBorder="1" applyAlignment="1">
      <alignment horizontal="center" wrapText="1"/>
    </xf>
    <xf numFmtId="44" fontId="5" fillId="11" borderId="4" xfId="1" applyFont="1" applyFill="1" applyBorder="1" applyAlignment="1">
      <alignment horizontal="center" wrapText="1"/>
    </xf>
    <xf numFmtId="44" fontId="6" fillId="11" borderId="2" xfId="1" applyFont="1" applyFill="1" applyBorder="1" applyAlignment="1">
      <alignment horizontal="center"/>
    </xf>
    <xf numFmtId="44" fontId="6" fillId="11" borderId="4" xfId="1" applyFont="1" applyFill="1" applyBorder="1" applyAlignment="1">
      <alignment horizontal="right"/>
    </xf>
    <xf numFmtId="44" fontId="6" fillId="11" borderId="6" xfId="1" applyFont="1" applyFill="1" applyBorder="1" applyAlignment="1">
      <alignment horizontal="right"/>
    </xf>
    <xf numFmtId="44" fontId="6" fillId="11" borderId="5" xfId="1" applyFont="1" applyFill="1" applyBorder="1" applyAlignment="1">
      <alignment horizontal="right"/>
    </xf>
    <xf numFmtId="0" fontId="5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center"/>
    </xf>
  </cellXfs>
  <cellStyles count="5">
    <cellStyle name="Currency" xfId="1" builtinId="4"/>
    <cellStyle name="Normal" xfId="0" builtinId="0"/>
    <cellStyle name="Normal 2" xfId="3"/>
    <cellStyle name="Note" xfId="4" builtinId="10"/>
    <cellStyle name="Percent" xfId="2" builtinId="5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ah_000\Documents\WPC%20Parish%20Council\Agenda%20and%20Minutes\PC%20Agendas\2015\March\Budget%20WPC%202014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&amp; E Against Budget"/>
      <sheetName val="newsletter summary"/>
      <sheetName val="calc 2014 to 2015"/>
      <sheetName val="2015 audit variance"/>
      <sheetName val="2014 audit variance"/>
      <sheetName val="bank reconciliation"/>
      <sheetName val="expected 2015 budget"/>
      <sheetName val="income"/>
      <sheetName val="expenditure"/>
      <sheetName val="projection year end march 7 "/>
      <sheetName val="reconcil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F6">
            <v>4610.4399999999996</v>
          </cell>
        </row>
        <row r="7">
          <cell r="N7">
            <v>440.56</v>
          </cell>
        </row>
        <row r="8">
          <cell r="N8">
            <v>423.07</v>
          </cell>
        </row>
        <row r="11">
          <cell r="O11">
            <v>523</v>
          </cell>
        </row>
        <row r="13">
          <cell r="O13">
            <v>270</v>
          </cell>
        </row>
        <row r="14">
          <cell r="O14">
            <v>524.15</v>
          </cell>
        </row>
        <row r="15">
          <cell r="O15">
            <v>0.96</v>
          </cell>
        </row>
        <row r="16">
          <cell r="N16">
            <v>25</v>
          </cell>
        </row>
        <row r="17">
          <cell r="O17">
            <v>5</v>
          </cell>
        </row>
        <row r="18">
          <cell r="N18">
            <v>300</v>
          </cell>
        </row>
      </sheetData>
      <sheetData sheetId="8">
        <row r="8">
          <cell r="N8">
            <v>337.68</v>
          </cell>
          <cell r="P8">
            <v>67.540000000000006</v>
          </cell>
        </row>
        <row r="9">
          <cell r="I9">
            <v>345</v>
          </cell>
          <cell r="P9">
            <v>69</v>
          </cell>
        </row>
        <row r="10">
          <cell r="J10">
            <v>59.95</v>
          </cell>
          <cell r="P10">
            <v>11.99</v>
          </cell>
        </row>
        <row r="11">
          <cell r="G11">
            <v>14</v>
          </cell>
        </row>
        <row r="12">
          <cell r="I12">
            <v>35</v>
          </cell>
        </row>
        <row r="15">
          <cell r="I15">
            <v>125</v>
          </cell>
          <cell r="P15">
            <v>25</v>
          </cell>
        </row>
        <row r="26">
          <cell r="P26">
            <v>25</v>
          </cell>
        </row>
        <row r="31">
          <cell r="P31">
            <v>20</v>
          </cell>
        </row>
        <row r="34">
          <cell r="L34">
            <v>154.61000000000001</v>
          </cell>
        </row>
        <row r="35">
          <cell r="L35">
            <v>154.61000000000001</v>
          </cell>
        </row>
        <row r="36">
          <cell r="P36">
            <v>13.63</v>
          </cell>
        </row>
        <row r="37">
          <cell r="P37">
            <v>50</v>
          </cell>
        </row>
        <row r="38">
          <cell r="I38">
            <v>583</v>
          </cell>
          <cell r="P38">
            <v>116</v>
          </cell>
        </row>
        <row r="41">
          <cell r="L41">
            <v>158.01</v>
          </cell>
        </row>
        <row r="42">
          <cell r="L42">
            <v>158.01</v>
          </cell>
        </row>
        <row r="43">
          <cell r="L43">
            <v>10.91</v>
          </cell>
        </row>
        <row r="44">
          <cell r="H44">
            <v>78.2</v>
          </cell>
        </row>
        <row r="45">
          <cell r="H45">
            <v>10.44</v>
          </cell>
        </row>
        <row r="46">
          <cell r="M46">
            <v>86</v>
          </cell>
          <cell r="P46">
            <v>12</v>
          </cell>
        </row>
        <row r="50">
          <cell r="I50">
            <v>97.95</v>
          </cell>
          <cell r="P50">
            <v>19.59</v>
          </cell>
          <cell r="Q50">
            <v>117.54</v>
          </cell>
        </row>
        <row r="51">
          <cell r="G51">
            <v>10.09</v>
          </cell>
        </row>
        <row r="52">
          <cell r="G52">
            <v>14</v>
          </cell>
        </row>
        <row r="53">
          <cell r="Q53">
            <v>1410</v>
          </cell>
        </row>
        <row r="54">
          <cell r="Q54">
            <v>1900</v>
          </cell>
        </row>
        <row r="55">
          <cell r="Q55">
            <v>1263</v>
          </cell>
        </row>
        <row r="56">
          <cell r="Q56">
            <v>692</v>
          </cell>
        </row>
        <row r="57">
          <cell r="K57">
            <v>58</v>
          </cell>
          <cell r="P57">
            <v>11.599999999999994</v>
          </cell>
          <cell r="Q57">
            <v>69.599999999999994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topLeftCell="C1" zoomScaleNormal="100" workbookViewId="0">
      <selection activeCell="N53" sqref="N53"/>
    </sheetView>
  </sheetViews>
  <sheetFormatPr defaultColWidth="24.28515625" defaultRowHeight="15" x14ac:dyDescent="0.25"/>
  <cols>
    <col min="1" max="1" width="34.42578125" bestFit="1" customWidth="1"/>
    <col min="2" max="2" width="22.5703125" style="3" bestFit="1" customWidth="1"/>
    <col min="3" max="3" width="21.42578125" customWidth="1"/>
    <col min="4" max="4" width="11.5703125" bestFit="1" customWidth="1"/>
    <col min="5" max="5" width="11.28515625" bestFit="1" customWidth="1"/>
    <col min="6" max="6" width="8.28515625" bestFit="1" customWidth="1"/>
    <col min="7" max="7" width="10.7109375" bestFit="1" customWidth="1"/>
    <col min="8" max="8" width="9.85546875" bestFit="1" customWidth="1"/>
    <col min="9" max="9" width="8.42578125" bestFit="1" customWidth="1"/>
    <col min="10" max="10" width="8.140625" bestFit="1" customWidth="1"/>
    <col min="11" max="11" width="13.7109375" bestFit="1" customWidth="1"/>
    <col min="12" max="13" width="22.5703125" customWidth="1"/>
  </cols>
  <sheetData>
    <row r="1" spans="1:15" x14ac:dyDescent="0.25">
      <c r="A1" s="58" t="s">
        <v>86</v>
      </c>
    </row>
    <row r="2" spans="1:15" x14ac:dyDescent="0.25">
      <c r="A2" s="224" t="s">
        <v>123</v>
      </c>
      <c r="B2" s="224"/>
      <c r="C2" s="57"/>
      <c r="D2" s="224" t="s">
        <v>124</v>
      </c>
      <c r="E2" s="224"/>
      <c r="F2" s="224"/>
      <c r="G2" s="224"/>
      <c r="H2" s="224"/>
      <c r="I2" s="224"/>
      <c r="J2" s="224"/>
      <c r="K2" s="58"/>
      <c r="L2" s="225" t="s">
        <v>128</v>
      </c>
      <c r="M2" s="225"/>
    </row>
    <row r="3" spans="1:15" x14ac:dyDescent="0.25">
      <c r="A3" s="55" t="s">
        <v>85</v>
      </c>
      <c r="B3" s="139"/>
      <c r="C3" s="107" t="s">
        <v>87</v>
      </c>
      <c r="D3" s="50" t="s">
        <v>82</v>
      </c>
      <c r="E3" s="51" t="s">
        <v>81</v>
      </c>
      <c r="F3" s="50" t="s">
        <v>80</v>
      </c>
      <c r="G3" s="50" t="s">
        <v>79</v>
      </c>
      <c r="H3" s="50" t="s">
        <v>78</v>
      </c>
      <c r="I3" s="50" t="s">
        <v>77</v>
      </c>
      <c r="J3" s="50" t="s">
        <v>76</v>
      </c>
      <c r="K3" s="50" t="s">
        <v>127</v>
      </c>
      <c r="L3" s="115" t="s">
        <v>129</v>
      </c>
      <c r="M3" s="115" t="s">
        <v>130</v>
      </c>
    </row>
    <row r="4" spans="1:15" x14ac:dyDescent="0.25">
      <c r="A4" s="108" t="s">
        <v>73</v>
      </c>
      <c r="B4" s="46" t="s">
        <v>125</v>
      </c>
      <c r="C4" s="26">
        <f>income!F3+income!F4</f>
        <v>6248.51</v>
      </c>
      <c r="D4" s="47"/>
      <c r="E4" s="47"/>
      <c r="F4" s="47"/>
      <c r="G4" s="47"/>
      <c r="H4" s="47"/>
      <c r="I4" s="47"/>
      <c r="J4" s="47"/>
      <c r="K4" s="63">
        <f>C4</f>
        <v>6248.51</v>
      </c>
      <c r="L4" s="116"/>
      <c r="M4" s="150">
        <v>7554</v>
      </c>
    </row>
    <row r="5" spans="1:15" x14ac:dyDescent="0.25">
      <c r="A5" s="108"/>
      <c r="B5" s="46" t="s">
        <v>126</v>
      </c>
      <c r="C5" s="26">
        <f>income!F5</f>
        <v>1306.77</v>
      </c>
      <c r="D5" s="47"/>
      <c r="E5" s="47"/>
      <c r="F5" s="47"/>
      <c r="G5" s="47"/>
      <c r="H5" s="47"/>
      <c r="I5" s="47"/>
      <c r="J5" s="47"/>
      <c r="K5" s="63">
        <f>SUM(C5)</f>
        <v>1306.77</v>
      </c>
      <c r="L5" s="117"/>
      <c r="M5" s="117"/>
      <c r="O5" s="147"/>
    </row>
    <row r="6" spans="1:15" x14ac:dyDescent="0.25">
      <c r="A6" s="108" t="s">
        <v>72</v>
      </c>
      <c r="B6" s="46"/>
      <c r="C6" s="26">
        <f>5051*1.015</f>
        <v>5126.7649999999994</v>
      </c>
      <c r="D6" s="45"/>
      <c r="E6" s="24">
        <f>income!G8+income!O9</f>
        <v>5320</v>
      </c>
      <c r="F6" s="24"/>
      <c r="G6" s="24"/>
      <c r="H6" s="93"/>
      <c r="I6" s="93"/>
      <c r="J6" s="93"/>
      <c r="K6" s="63">
        <f>SUM(D6:J6)</f>
        <v>5320</v>
      </c>
      <c r="L6" s="140">
        <v>5230</v>
      </c>
      <c r="M6" s="117"/>
    </row>
    <row r="7" spans="1:15" x14ac:dyDescent="0.25">
      <c r="A7" s="109" t="s">
        <v>71</v>
      </c>
      <c r="B7" s="28"/>
      <c r="C7" s="26">
        <v>520</v>
      </c>
      <c r="D7" s="24"/>
      <c r="E7" s="24"/>
      <c r="F7" s="24">
        <v>508</v>
      </c>
      <c r="G7" s="24"/>
      <c r="H7" s="93"/>
      <c r="I7" s="93"/>
      <c r="J7" s="93"/>
      <c r="K7" s="63">
        <f t="shared" ref="K7:K16" si="0">SUM(D7:J7)</f>
        <v>508</v>
      </c>
      <c r="L7" s="118">
        <v>0</v>
      </c>
      <c r="M7" s="118"/>
    </row>
    <row r="8" spans="1:15" x14ac:dyDescent="0.25">
      <c r="A8" s="109" t="s">
        <v>70</v>
      </c>
      <c r="B8" s="28"/>
      <c r="C8" s="26">
        <v>4</v>
      </c>
      <c r="D8" s="24"/>
      <c r="E8" s="24"/>
      <c r="F8" s="24">
        <v>1</v>
      </c>
      <c r="G8" s="3">
        <v>1</v>
      </c>
      <c r="H8" s="93"/>
      <c r="I8" s="93">
        <v>1</v>
      </c>
      <c r="J8" s="93">
        <v>1</v>
      </c>
      <c r="K8" s="63">
        <f t="shared" si="0"/>
        <v>4</v>
      </c>
      <c r="L8" s="116"/>
      <c r="M8" s="118">
        <v>4</v>
      </c>
    </row>
    <row r="9" spans="1:15" x14ac:dyDescent="0.25">
      <c r="A9" s="109" t="s">
        <v>69</v>
      </c>
      <c r="B9" s="43"/>
      <c r="C9" s="26">
        <v>102</v>
      </c>
      <c r="D9" s="24"/>
      <c r="E9" s="24"/>
      <c r="F9" s="24">
        <v>102.21</v>
      </c>
      <c r="G9" s="24">
        <v>2</v>
      </c>
      <c r="H9" s="93"/>
      <c r="I9" s="93"/>
      <c r="J9" s="93"/>
      <c r="K9" s="63">
        <f t="shared" si="0"/>
        <v>104.21</v>
      </c>
      <c r="L9" s="116"/>
      <c r="M9" s="118">
        <v>104</v>
      </c>
    </row>
    <row r="10" spans="1:15" x14ac:dyDescent="0.25">
      <c r="A10" s="109" t="s">
        <v>68</v>
      </c>
      <c r="B10" s="28"/>
      <c r="C10" s="123">
        <v>0</v>
      </c>
      <c r="D10" s="24"/>
      <c r="E10" s="24"/>
      <c r="F10" s="24"/>
      <c r="G10" s="24">
        <f>200+400</f>
        <v>600</v>
      </c>
      <c r="H10" s="93"/>
      <c r="I10" s="93"/>
      <c r="J10" s="93"/>
      <c r="K10" s="63">
        <f t="shared" si="0"/>
        <v>600</v>
      </c>
      <c r="L10" s="118"/>
      <c r="M10" s="118"/>
    </row>
    <row r="11" spans="1:15" x14ac:dyDescent="0.25">
      <c r="A11" s="109" t="s">
        <v>30</v>
      </c>
      <c r="B11" s="28"/>
      <c r="C11" s="123">
        <v>0</v>
      </c>
      <c r="D11" s="24"/>
      <c r="E11" s="24"/>
      <c r="F11" s="24"/>
      <c r="G11" s="24"/>
      <c r="H11" s="93"/>
      <c r="I11" s="93"/>
      <c r="J11" s="93"/>
      <c r="K11" s="63">
        <f t="shared" si="0"/>
        <v>0</v>
      </c>
      <c r="L11" s="118"/>
      <c r="M11" s="118"/>
    </row>
    <row r="12" spans="1:15" x14ac:dyDescent="0.25">
      <c r="A12" s="109" t="s">
        <v>67</v>
      </c>
      <c r="B12" s="28"/>
      <c r="C12" s="123"/>
      <c r="D12" s="24"/>
      <c r="E12" s="24"/>
      <c r="F12" s="24"/>
      <c r="G12" s="24"/>
      <c r="H12" s="93"/>
      <c r="I12" s="93"/>
      <c r="J12" s="93"/>
      <c r="K12" s="63">
        <f t="shared" si="0"/>
        <v>0</v>
      </c>
      <c r="L12" s="118"/>
      <c r="M12" s="118"/>
      <c r="N12" s="97">
        <f>M17+L17</f>
        <v>12892</v>
      </c>
    </row>
    <row r="13" spans="1:15" x14ac:dyDescent="0.25">
      <c r="A13" s="110" t="s">
        <v>19</v>
      </c>
      <c r="B13" s="28"/>
      <c r="C13" s="123"/>
      <c r="D13" s="24"/>
      <c r="E13" s="24"/>
      <c r="F13" s="24"/>
      <c r="G13" s="24"/>
      <c r="H13" s="93"/>
      <c r="I13" s="93"/>
      <c r="J13" s="93" t="e">
        <f>K51</f>
        <v>#REF!</v>
      </c>
      <c r="K13" s="63" t="e">
        <f t="shared" si="0"/>
        <v>#REF!</v>
      </c>
      <c r="L13" s="118"/>
      <c r="M13" s="118"/>
    </row>
    <row r="14" spans="1:15" x14ac:dyDescent="0.25">
      <c r="A14" s="110" t="s">
        <v>66</v>
      </c>
      <c r="B14" s="43"/>
      <c r="C14" s="123"/>
      <c r="D14" s="24"/>
      <c r="E14" s="60"/>
      <c r="F14" s="24"/>
      <c r="G14" s="24">
        <v>7.5</v>
      </c>
      <c r="H14" s="93">
        <v>20</v>
      </c>
      <c r="I14" s="93"/>
      <c r="J14" s="93"/>
      <c r="K14" s="63">
        <f>SUM(D14:J14)</f>
        <v>27.5</v>
      </c>
      <c r="L14" s="119"/>
      <c r="M14" s="119"/>
    </row>
    <row r="15" spans="1:15" x14ac:dyDescent="0.25">
      <c r="A15" s="110" t="s">
        <v>65</v>
      </c>
      <c r="B15" s="43"/>
      <c r="C15" s="123"/>
      <c r="D15" s="24"/>
      <c r="E15" s="60"/>
      <c r="F15" s="24"/>
      <c r="G15" s="24">
        <v>130</v>
      </c>
      <c r="H15" s="93"/>
      <c r="I15" s="93"/>
      <c r="J15" s="93"/>
      <c r="K15" s="63">
        <f t="shared" si="0"/>
        <v>130</v>
      </c>
      <c r="L15" s="119"/>
      <c r="M15" s="119"/>
    </row>
    <row r="16" spans="1:15" ht="17.25" x14ac:dyDescent="0.4">
      <c r="A16" s="111" t="s">
        <v>43</v>
      </c>
      <c r="B16" s="28" t="s">
        <v>64</v>
      </c>
      <c r="C16" s="123"/>
      <c r="E16" s="61"/>
      <c r="F16" s="24"/>
      <c r="G16" s="24"/>
      <c r="H16" s="93"/>
      <c r="I16" s="93"/>
      <c r="J16" s="93"/>
      <c r="K16" s="63">
        <f t="shared" si="0"/>
        <v>0</v>
      </c>
      <c r="L16" s="118"/>
      <c r="M16" s="118"/>
    </row>
    <row r="17" spans="1:15" x14ac:dyDescent="0.25">
      <c r="A17" s="40" t="s">
        <v>63</v>
      </c>
      <c r="B17" s="28"/>
      <c r="C17" s="124">
        <f>SUM(C4:C16)</f>
        <v>13308.045</v>
      </c>
      <c r="D17" s="17">
        <f>SUM(D6:D15)</f>
        <v>0</v>
      </c>
      <c r="E17" s="17">
        <f>SUM(E6:E16)</f>
        <v>5320</v>
      </c>
      <c r="F17" s="17">
        <f>SUM(F6:F16)</f>
        <v>611.21</v>
      </c>
      <c r="G17" s="17">
        <f>SUM(G6:G16)</f>
        <v>740.5</v>
      </c>
      <c r="H17" s="17">
        <f t="shared" ref="H17:J17" si="1">SUM(H6:H16)</f>
        <v>20</v>
      </c>
      <c r="I17" s="17">
        <f t="shared" si="1"/>
        <v>1</v>
      </c>
      <c r="J17" s="17" t="e">
        <f t="shared" si="1"/>
        <v>#REF!</v>
      </c>
      <c r="K17" s="37" t="e">
        <f>SUM(K4:K16)</f>
        <v>#REF!</v>
      </c>
      <c r="L17" s="117">
        <f>SUM(L4:L16)</f>
        <v>5230</v>
      </c>
      <c r="M17" s="117">
        <f>SUM(M4:M16)</f>
        <v>7662</v>
      </c>
      <c r="N17" s="97"/>
      <c r="O17" s="97"/>
    </row>
    <row r="18" spans="1:15" x14ac:dyDescent="0.25">
      <c r="A18" s="33"/>
      <c r="B18" s="28"/>
      <c r="C18" s="123"/>
      <c r="D18" s="23"/>
      <c r="E18" s="23"/>
      <c r="F18" s="23"/>
      <c r="G18" s="23"/>
      <c r="H18" s="23"/>
      <c r="I18" s="23"/>
      <c r="J18" s="23"/>
      <c r="K18" s="23"/>
      <c r="L18" s="226" t="s">
        <v>139</v>
      </c>
      <c r="M18" s="227"/>
      <c r="N18" s="12"/>
      <c r="O18" s="97"/>
    </row>
    <row r="19" spans="1:15" x14ac:dyDescent="0.25">
      <c r="A19" s="33"/>
      <c r="B19" s="28"/>
      <c r="C19" s="123"/>
      <c r="D19" s="113"/>
      <c r="E19" s="23"/>
      <c r="F19" s="23"/>
      <c r="G19" s="23"/>
      <c r="H19" s="23"/>
      <c r="I19" s="23"/>
      <c r="J19" s="23"/>
      <c r="K19" s="23"/>
      <c r="L19" s="148"/>
      <c r="M19" s="149"/>
      <c r="N19" s="12"/>
    </row>
    <row r="20" spans="1:15" x14ac:dyDescent="0.25">
      <c r="A20" s="228" t="s">
        <v>91</v>
      </c>
      <c r="B20" s="229"/>
      <c r="C20" s="125"/>
      <c r="D20" s="3"/>
      <c r="E20" s="24"/>
      <c r="F20" s="24"/>
      <c r="G20" s="24"/>
      <c r="H20" s="24"/>
      <c r="I20" s="24"/>
      <c r="J20" s="24"/>
      <c r="K20" s="23"/>
      <c r="L20" s="120" t="s">
        <v>131</v>
      </c>
      <c r="M20" s="120" t="s">
        <v>132</v>
      </c>
    </row>
    <row r="21" spans="1:15" x14ac:dyDescent="0.25">
      <c r="A21" s="28" t="s">
        <v>60</v>
      </c>
      <c r="B21" s="28" t="s">
        <v>59</v>
      </c>
      <c r="C21" s="26">
        <v>128</v>
      </c>
      <c r="D21" s="24"/>
      <c r="E21" s="24">
        <f>130</f>
        <v>130</v>
      </c>
      <c r="F21" s="24"/>
      <c r="G21" s="24"/>
      <c r="H21" s="93"/>
      <c r="I21" s="93"/>
      <c r="J21" s="93"/>
      <c r="K21" s="63">
        <f>SUM(D21:J21)</f>
        <v>130</v>
      </c>
      <c r="L21" s="118">
        <v>132</v>
      </c>
      <c r="M21" s="118"/>
    </row>
    <row r="22" spans="1:15" ht="17.25" x14ac:dyDescent="0.4">
      <c r="A22" s="33" t="s">
        <v>58</v>
      </c>
      <c r="B22" s="28" t="s">
        <v>57</v>
      </c>
      <c r="C22" s="26">
        <v>250</v>
      </c>
      <c r="D22" s="24"/>
      <c r="E22" s="62"/>
      <c r="F22" s="24"/>
      <c r="G22" s="98"/>
      <c r="H22" s="93"/>
      <c r="I22" s="93"/>
      <c r="J22" s="93"/>
      <c r="K22" s="63">
        <f t="shared" ref="K22:K54" si="2">SUM(D22:J22)</f>
        <v>0</v>
      </c>
      <c r="L22" s="118"/>
      <c r="M22" s="118">
        <v>250</v>
      </c>
    </row>
    <row r="23" spans="1:15" ht="17.25" x14ac:dyDescent="0.4">
      <c r="A23" s="33"/>
      <c r="B23" s="28" t="s">
        <v>135</v>
      </c>
      <c r="C23" s="26">
        <v>0</v>
      </c>
      <c r="D23" s="24"/>
      <c r="E23" s="62"/>
      <c r="F23" s="24"/>
      <c r="G23" s="24"/>
      <c r="H23" s="93"/>
      <c r="I23" s="93"/>
      <c r="J23" s="93"/>
      <c r="K23" s="63">
        <f t="shared" si="2"/>
        <v>0</v>
      </c>
      <c r="L23" s="118"/>
      <c r="M23" s="118"/>
    </row>
    <row r="24" spans="1:15" ht="17.25" x14ac:dyDescent="0.4">
      <c r="A24" s="33"/>
      <c r="B24" s="28" t="s">
        <v>53</v>
      </c>
      <c r="C24" s="26">
        <v>0</v>
      </c>
      <c r="D24" s="24"/>
      <c r="E24" s="62"/>
      <c r="F24" s="24"/>
      <c r="H24" s="93">
        <v>500</v>
      </c>
      <c r="I24" s="93"/>
      <c r="J24" s="93"/>
      <c r="K24" s="63">
        <f t="shared" si="2"/>
        <v>500</v>
      </c>
      <c r="L24" s="118"/>
      <c r="M24" s="118">
        <v>0</v>
      </c>
    </row>
    <row r="25" spans="1:15" x14ac:dyDescent="0.25">
      <c r="A25" s="33" t="s">
        <v>52</v>
      </c>
      <c r="B25" s="28" t="s">
        <v>51</v>
      </c>
      <c r="C25" s="26">
        <v>300</v>
      </c>
      <c r="D25" s="31"/>
      <c r="E25" s="24"/>
      <c r="F25" s="24"/>
      <c r="H25" s="93"/>
      <c r="I25" s="93">
        <v>300</v>
      </c>
      <c r="J25" s="93"/>
      <c r="K25" s="63">
        <f t="shared" si="2"/>
        <v>300</v>
      </c>
      <c r="L25" s="118"/>
      <c r="M25" s="118">
        <v>250</v>
      </c>
    </row>
    <row r="26" spans="1:15" x14ac:dyDescent="0.25">
      <c r="A26" s="33"/>
      <c r="B26" s="28" t="s">
        <v>50</v>
      </c>
      <c r="C26" s="26">
        <v>50</v>
      </c>
      <c r="D26" s="31"/>
      <c r="E26" s="24"/>
      <c r="F26" s="24"/>
      <c r="H26" s="93">
        <v>50</v>
      </c>
      <c r="I26" s="93"/>
      <c r="J26" s="93"/>
      <c r="K26" s="63">
        <f t="shared" si="2"/>
        <v>50</v>
      </c>
      <c r="L26" s="118"/>
      <c r="M26" s="118">
        <v>50</v>
      </c>
    </row>
    <row r="27" spans="1:15" x14ac:dyDescent="0.25">
      <c r="A27" s="33"/>
      <c r="B27" s="28" t="s">
        <v>49</v>
      </c>
      <c r="C27" s="26">
        <v>200</v>
      </c>
      <c r="D27" s="31"/>
      <c r="E27" s="24"/>
      <c r="F27" s="24"/>
      <c r="H27" s="93"/>
      <c r="I27" s="93">
        <v>200</v>
      </c>
      <c r="J27" s="93"/>
      <c r="K27" s="63">
        <f t="shared" si="2"/>
        <v>200</v>
      </c>
      <c r="L27" s="118"/>
      <c r="M27" s="118">
        <v>175</v>
      </c>
    </row>
    <row r="28" spans="1:15" x14ac:dyDescent="0.25">
      <c r="A28" s="33"/>
      <c r="B28" s="28" t="s">
        <v>48</v>
      </c>
      <c r="C28" s="26">
        <v>100</v>
      </c>
      <c r="D28" s="31"/>
      <c r="E28" s="24"/>
      <c r="F28" s="24">
        <v>100</v>
      </c>
      <c r="G28" s="98"/>
      <c r="H28" s="93"/>
      <c r="I28" s="93"/>
      <c r="J28" s="93"/>
      <c r="K28" s="63">
        <f t="shared" si="2"/>
        <v>100</v>
      </c>
      <c r="L28" s="118"/>
      <c r="M28" s="118">
        <v>100</v>
      </c>
    </row>
    <row r="29" spans="1:15" x14ac:dyDescent="0.25">
      <c r="A29" s="33"/>
      <c r="B29" s="28" t="s">
        <v>47</v>
      </c>
      <c r="C29" s="26">
        <v>200</v>
      </c>
      <c r="D29" s="31"/>
      <c r="E29" s="24"/>
      <c r="F29" s="24"/>
      <c r="G29" s="98"/>
      <c r="H29" s="93"/>
      <c r="I29" s="93"/>
      <c r="J29" s="93"/>
      <c r="K29" s="63">
        <f t="shared" si="2"/>
        <v>0</v>
      </c>
      <c r="L29" s="118"/>
      <c r="M29" s="118">
        <v>0</v>
      </c>
    </row>
    <row r="30" spans="1:15" x14ac:dyDescent="0.25">
      <c r="A30" s="28" t="s">
        <v>46</v>
      </c>
      <c r="B30" s="28" t="s">
        <v>45</v>
      </c>
      <c r="C30" s="26">
        <v>330</v>
      </c>
      <c r="D30" s="31"/>
      <c r="E30" s="24">
        <f>expenditure!H8</f>
        <v>0</v>
      </c>
      <c r="F30" s="24"/>
      <c r="G30" s="24"/>
      <c r="H30" s="93"/>
      <c r="I30" s="93"/>
      <c r="J30" s="93"/>
      <c r="K30" s="63">
        <f t="shared" si="2"/>
        <v>0</v>
      </c>
      <c r="L30" s="118">
        <v>352</v>
      </c>
      <c r="M30" s="118"/>
    </row>
    <row r="31" spans="1:15" x14ac:dyDescent="0.25">
      <c r="A31" s="28"/>
      <c r="B31" s="28" t="s">
        <v>44</v>
      </c>
      <c r="C31" s="26">
        <f>423+31</f>
        <v>454</v>
      </c>
      <c r="D31" s="31"/>
      <c r="E31" s="24">
        <f>expenditure!G8</f>
        <v>0</v>
      </c>
      <c r="F31" s="24"/>
      <c r="G31" s="24"/>
      <c r="H31" s="93"/>
      <c r="I31" s="93"/>
      <c r="J31" s="93"/>
      <c r="K31" s="63">
        <f t="shared" si="2"/>
        <v>0</v>
      </c>
      <c r="L31" s="118">
        <v>0</v>
      </c>
      <c r="M31" s="118">
        <v>481</v>
      </c>
    </row>
    <row r="32" spans="1:15" x14ac:dyDescent="0.25">
      <c r="A32" s="28"/>
      <c r="B32" s="28" t="s">
        <v>43</v>
      </c>
      <c r="C32" s="26">
        <f>151+5</f>
        <v>156</v>
      </c>
      <c r="D32" s="31"/>
      <c r="E32" s="24">
        <f>expenditure!K8</f>
        <v>0</v>
      </c>
      <c r="F32" s="24"/>
      <c r="G32" s="24"/>
      <c r="H32" s="93"/>
      <c r="I32" s="93"/>
      <c r="J32" s="93"/>
      <c r="K32" s="63">
        <f t="shared" si="2"/>
        <v>0</v>
      </c>
      <c r="L32" s="118">
        <v>172</v>
      </c>
      <c r="M32" s="121"/>
    </row>
    <row r="33" spans="1:15" x14ac:dyDescent="0.25">
      <c r="A33" s="28" t="s">
        <v>42</v>
      </c>
      <c r="B33" s="28" t="s">
        <v>41</v>
      </c>
      <c r="C33" s="26">
        <v>1823</v>
      </c>
      <c r="D33" s="31"/>
      <c r="E33" s="24">
        <f>expenditure!J14</f>
        <v>0</v>
      </c>
      <c r="F33" s="24">
        <v>250</v>
      </c>
      <c r="G33" s="45">
        <f>153+418</f>
        <v>571</v>
      </c>
      <c r="H33" s="95">
        <f>153*2</f>
        <v>306</v>
      </c>
      <c r="I33" s="93">
        <v>306</v>
      </c>
      <c r="J33" s="93"/>
      <c r="K33" s="63">
        <f>SUM(D33:J33)</f>
        <v>1433</v>
      </c>
      <c r="L33" s="118">
        <v>1843</v>
      </c>
      <c r="M33" s="118"/>
    </row>
    <row r="34" spans="1:15" x14ac:dyDescent="0.25">
      <c r="A34" s="33"/>
      <c r="B34" s="28" t="s">
        <v>40</v>
      </c>
      <c r="C34" s="26">
        <v>60</v>
      </c>
      <c r="D34" s="31"/>
      <c r="E34" s="24">
        <f>59.95</f>
        <v>59.95</v>
      </c>
      <c r="F34" s="24"/>
      <c r="G34" s="24"/>
      <c r="H34" s="93"/>
      <c r="I34" s="93"/>
      <c r="J34" s="93"/>
      <c r="K34" s="63">
        <f t="shared" si="2"/>
        <v>59.95</v>
      </c>
      <c r="L34" s="118">
        <v>205</v>
      </c>
      <c r="M34" s="118"/>
    </row>
    <row r="35" spans="1:15" x14ac:dyDescent="0.25">
      <c r="A35" s="28"/>
      <c r="B35" s="28" t="s">
        <v>39</v>
      </c>
      <c r="C35" s="26">
        <v>100</v>
      </c>
      <c r="D35" s="31"/>
      <c r="E35" s="24"/>
      <c r="F35" s="24">
        <f>expenditure!J24</f>
        <v>0</v>
      </c>
      <c r="G35" s="24">
        <v>153.1</v>
      </c>
      <c r="H35" s="93">
        <v>153.1</v>
      </c>
      <c r="I35" s="93"/>
      <c r="J35" s="93"/>
      <c r="K35" s="63">
        <f t="shared" si="2"/>
        <v>306.2</v>
      </c>
      <c r="L35" s="118">
        <f>70+94</f>
        <v>164</v>
      </c>
      <c r="M35" s="142"/>
    </row>
    <row r="36" spans="1:15" x14ac:dyDescent="0.25">
      <c r="A36" s="28"/>
      <c r="B36" s="28" t="s">
        <v>38</v>
      </c>
      <c r="C36" s="26">
        <v>0</v>
      </c>
      <c r="D36" s="31"/>
      <c r="E36" s="24"/>
      <c r="F36" s="24"/>
      <c r="G36" s="24"/>
      <c r="H36" s="93"/>
      <c r="I36" s="93"/>
      <c r="J36" s="93"/>
      <c r="K36" s="63">
        <f t="shared" si="2"/>
        <v>0</v>
      </c>
      <c r="L36" s="118">
        <v>220</v>
      </c>
      <c r="M36" s="118"/>
    </row>
    <row r="37" spans="1:15" x14ac:dyDescent="0.25">
      <c r="A37" s="33"/>
      <c r="B37" s="28" t="s">
        <v>37</v>
      </c>
      <c r="C37" s="26">
        <v>355</v>
      </c>
      <c r="D37" s="31"/>
      <c r="E37" s="24"/>
      <c r="F37" s="24"/>
      <c r="G37" s="98"/>
      <c r="H37" s="93"/>
      <c r="I37" s="93"/>
      <c r="J37" s="93">
        <v>355</v>
      </c>
      <c r="K37" s="63">
        <f t="shared" si="2"/>
        <v>355</v>
      </c>
      <c r="L37" s="118"/>
      <c r="M37" s="116">
        <v>355</v>
      </c>
      <c r="O37" s="1"/>
    </row>
    <row r="38" spans="1:15" x14ac:dyDescent="0.25">
      <c r="A38" s="28" t="s">
        <v>36</v>
      </c>
      <c r="B38" s="28" t="s">
        <v>35</v>
      </c>
      <c r="C38" s="26">
        <v>1883</v>
      </c>
      <c r="D38" s="45">
        <v>158.01</v>
      </c>
      <c r="E38" s="24">
        <f>expenditure!M5</f>
        <v>0</v>
      </c>
      <c r="F38" s="24"/>
      <c r="G38" s="45">
        <v>379.23</v>
      </c>
      <c r="H38" s="93"/>
      <c r="I38" s="93">
        <v>379.23</v>
      </c>
      <c r="J38" s="93">
        <v>379.23</v>
      </c>
      <c r="K38" s="63">
        <f t="shared" si="2"/>
        <v>1295.7</v>
      </c>
      <c r="L38" s="118">
        <v>1933</v>
      </c>
      <c r="M38" s="118"/>
    </row>
    <row r="39" spans="1:15" x14ac:dyDescent="0.25">
      <c r="A39" s="33"/>
      <c r="B39" s="28" t="s">
        <v>34</v>
      </c>
      <c r="C39" s="26">
        <v>80</v>
      </c>
      <c r="D39" s="31"/>
      <c r="E39" s="24"/>
      <c r="F39" s="24"/>
      <c r="G39" s="24">
        <v>40</v>
      </c>
      <c r="H39" s="93"/>
      <c r="I39" s="93"/>
      <c r="J39" s="93">
        <v>40</v>
      </c>
      <c r="K39" s="63">
        <f t="shared" si="2"/>
        <v>80</v>
      </c>
      <c r="L39" s="118">
        <v>80</v>
      </c>
      <c r="M39" s="118"/>
    </row>
    <row r="40" spans="1:15" x14ac:dyDescent="0.25">
      <c r="A40" s="33" t="s">
        <v>94</v>
      </c>
      <c r="B40" s="28" t="s">
        <v>93</v>
      </c>
      <c r="C40" s="26">
        <v>0</v>
      </c>
      <c r="D40" s="31"/>
      <c r="E40" s="24">
        <f>expenditure!N7</f>
        <v>0</v>
      </c>
      <c r="F40" s="24"/>
      <c r="G40" s="45">
        <v>94.8</v>
      </c>
      <c r="H40" s="93"/>
      <c r="I40" s="93">
        <v>94.8</v>
      </c>
      <c r="J40" s="93">
        <v>94.8</v>
      </c>
      <c r="K40" s="63">
        <f t="shared" si="2"/>
        <v>284.39999999999998</v>
      </c>
      <c r="L40" s="118"/>
      <c r="M40" s="118"/>
    </row>
    <row r="41" spans="1:15" x14ac:dyDescent="0.25">
      <c r="A41" s="28" t="s">
        <v>33</v>
      </c>
      <c r="B41" s="28" t="s">
        <v>32</v>
      </c>
      <c r="C41" s="26">
        <v>100</v>
      </c>
      <c r="D41" s="31"/>
      <c r="E41" s="24"/>
      <c r="F41" s="24">
        <v>100</v>
      </c>
      <c r="G41" s="24"/>
      <c r="H41" s="93"/>
      <c r="I41" s="93"/>
      <c r="J41" s="93"/>
      <c r="K41" s="63">
        <f t="shared" si="2"/>
        <v>100</v>
      </c>
      <c r="L41" s="118">
        <v>100</v>
      </c>
      <c r="M41" s="118"/>
    </row>
    <row r="42" spans="1:15" x14ac:dyDescent="0.25">
      <c r="A42" s="28"/>
      <c r="B42" s="28" t="s">
        <v>119</v>
      </c>
      <c r="C42" s="26">
        <v>100</v>
      </c>
      <c r="D42" s="31"/>
      <c r="E42" s="24">
        <f>1.24+6.48+13.41+3.47+expenditure!H11</f>
        <v>1116.58</v>
      </c>
      <c r="F42" s="24">
        <v>15</v>
      </c>
      <c r="G42" s="24">
        <f>3.78+7.56+0.95+0.95+17+13.32+7.56</f>
        <v>51.120000000000005</v>
      </c>
      <c r="H42" s="93"/>
      <c r="I42" s="93">
        <v>17</v>
      </c>
      <c r="J42" s="93">
        <f>17+7.56+7.56</f>
        <v>32.119999999999997</v>
      </c>
      <c r="K42" s="63">
        <f t="shared" si="2"/>
        <v>1231.8199999999997</v>
      </c>
      <c r="L42" s="118">
        <v>150</v>
      </c>
      <c r="M42" s="118"/>
    </row>
    <row r="43" spans="1:15" x14ac:dyDescent="0.25">
      <c r="A43" s="28"/>
      <c r="B43" s="28" t="s">
        <v>30</v>
      </c>
      <c r="C43" s="26">
        <v>75</v>
      </c>
      <c r="D43" s="31"/>
      <c r="E43" s="24"/>
      <c r="F43" s="24"/>
      <c r="G43" s="24"/>
      <c r="H43" s="93"/>
      <c r="I43" s="93"/>
      <c r="J43" s="93">
        <v>150</v>
      </c>
      <c r="K43" s="63">
        <f t="shared" si="2"/>
        <v>150</v>
      </c>
      <c r="L43" s="118">
        <v>150</v>
      </c>
      <c r="M43" s="118">
        <v>0</v>
      </c>
    </row>
    <row r="44" spans="1:15" x14ac:dyDescent="0.25">
      <c r="A44" s="28" t="s">
        <v>29</v>
      </c>
      <c r="B44" s="28" t="s">
        <v>28</v>
      </c>
      <c r="C44" s="26">
        <v>80</v>
      </c>
      <c r="D44" s="31"/>
      <c r="E44" s="24">
        <v>36.49</v>
      </c>
      <c r="F44" s="24"/>
      <c r="G44" s="3"/>
      <c r="H44" s="93">
        <v>36.49</v>
      </c>
      <c r="I44" s="93"/>
      <c r="J44" s="93"/>
      <c r="K44" s="63">
        <f t="shared" si="2"/>
        <v>72.98</v>
      </c>
      <c r="L44" s="118">
        <v>80</v>
      </c>
      <c r="M44" s="118"/>
    </row>
    <row r="45" spans="1:15" x14ac:dyDescent="0.25">
      <c r="A45" s="28"/>
      <c r="B45" s="28" t="s">
        <v>27</v>
      </c>
      <c r="C45" s="26">
        <v>0</v>
      </c>
      <c r="D45" s="31"/>
      <c r="E45" s="24"/>
      <c r="F45" s="24"/>
      <c r="G45" s="24"/>
      <c r="H45" s="93"/>
      <c r="I45" s="93"/>
      <c r="J45" s="93"/>
      <c r="K45" s="63">
        <f t="shared" si="2"/>
        <v>0</v>
      </c>
      <c r="L45" s="118">
        <v>0</v>
      </c>
      <c r="M45" s="118"/>
    </row>
    <row r="46" spans="1:15" x14ac:dyDescent="0.25">
      <c r="A46" s="28" t="s">
        <v>26</v>
      </c>
      <c r="B46" s="32"/>
      <c r="C46" s="126">
        <v>105</v>
      </c>
      <c r="D46" s="31"/>
      <c r="E46" s="24">
        <v>14</v>
      </c>
      <c r="F46" s="24"/>
      <c r="G46" s="3"/>
      <c r="H46" s="93">
        <v>14</v>
      </c>
      <c r="I46" s="93">
        <v>14</v>
      </c>
      <c r="J46" s="93">
        <v>14</v>
      </c>
      <c r="K46" s="63">
        <f t="shared" si="2"/>
        <v>56</v>
      </c>
      <c r="L46" s="118">
        <v>63</v>
      </c>
      <c r="M46" s="122"/>
    </row>
    <row r="47" spans="1:15" x14ac:dyDescent="0.25">
      <c r="A47" s="28" t="s">
        <v>25</v>
      </c>
      <c r="B47" s="28"/>
      <c r="C47" s="26">
        <f>80*4</f>
        <v>320</v>
      </c>
      <c r="D47" s="31"/>
      <c r="E47" s="24"/>
      <c r="F47" s="24">
        <f>79.94</f>
        <v>79.94</v>
      </c>
      <c r="G47" s="24">
        <v>79.94</v>
      </c>
      <c r="H47" s="93"/>
      <c r="I47" s="93">
        <v>80</v>
      </c>
      <c r="J47" s="93">
        <v>80</v>
      </c>
      <c r="K47" s="63">
        <f t="shared" si="2"/>
        <v>319.88</v>
      </c>
      <c r="L47" s="118">
        <f>80*3</f>
        <v>240</v>
      </c>
      <c r="M47" s="116"/>
    </row>
    <row r="48" spans="1:15" x14ac:dyDescent="0.25">
      <c r="A48" s="28" t="s">
        <v>24</v>
      </c>
      <c r="B48" s="28" t="s">
        <v>23</v>
      </c>
      <c r="C48" s="26">
        <v>500</v>
      </c>
      <c r="D48" s="31"/>
      <c r="E48" s="24"/>
      <c r="F48" s="24"/>
      <c r="G48" s="24"/>
      <c r="H48" s="93"/>
      <c r="I48" s="93"/>
      <c r="J48" s="93">
        <v>500</v>
      </c>
      <c r="K48" s="63">
        <f t="shared" si="2"/>
        <v>500</v>
      </c>
      <c r="L48" s="118">
        <v>140</v>
      </c>
      <c r="M48" s="118"/>
    </row>
    <row r="49" spans="1:13" x14ac:dyDescent="0.25">
      <c r="A49" s="28" t="s">
        <v>22</v>
      </c>
      <c r="B49" s="28"/>
      <c r="C49" s="26">
        <v>35</v>
      </c>
      <c r="D49" s="31"/>
      <c r="E49" s="24"/>
      <c r="F49" s="24">
        <v>35</v>
      </c>
      <c r="G49" s="24"/>
      <c r="H49" s="93"/>
      <c r="I49" s="93"/>
      <c r="J49" s="93"/>
      <c r="K49" s="63">
        <f t="shared" si="2"/>
        <v>35</v>
      </c>
      <c r="L49" s="118">
        <v>35</v>
      </c>
      <c r="M49" s="118"/>
    </row>
    <row r="50" spans="1:13" x14ac:dyDescent="0.25">
      <c r="A50" s="28" t="s">
        <v>21</v>
      </c>
      <c r="B50" s="28" t="s">
        <v>20</v>
      </c>
      <c r="C50" s="26">
        <v>100</v>
      </c>
      <c r="D50" s="31"/>
      <c r="E50" s="24"/>
      <c r="F50" s="24"/>
      <c r="G50" s="24">
        <v>78.37</v>
      </c>
      <c r="H50" s="93"/>
      <c r="I50" s="93"/>
      <c r="J50" s="85"/>
      <c r="K50" s="63">
        <f>SUM(D50:I50)</f>
        <v>78.37</v>
      </c>
      <c r="L50" s="118">
        <v>80</v>
      </c>
      <c r="M50" s="118"/>
    </row>
    <row r="51" spans="1:13" x14ac:dyDescent="0.25">
      <c r="A51" s="29" t="s">
        <v>19</v>
      </c>
      <c r="B51" s="29" t="s">
        <v>18</v>
      </c>
      <c r="C51" s="126">
        <v>0</v>
      </c>
      <c r="D51" s="31"/>
      <c r="E51" s="24" t="e">
        <f>expenditure!#REF!+expenditure!R14</f>
        <v>#REF!</v>
      </c>
      <c r="F51" s="24" t="e">
        <f>expenditure!R24+expenditure!#REF!+expenditure!R25</f>
        <v>#REF!</v>
      </c>
      <c r="G51" s="24">
        <f>30.62+30.6+83.6</f>
        <v>144.82</v>
      </c>
      <c r="H51" s="93">
        <f>30.6*2+47.8</f>
        <v>109</v>
      </c>
      <c r="I51" s="93">
        <f>30.6*2</f>
        <v>61.2</v>
      </c>
      <c r="J51" s="93"/>
      <c r="K51" s="63" t="e">
        <f t="shared" si="2"/>
        <v>#REF!</v>
      </c>
      <c r="L51" s="118"/>
      <c r="M51" s="122"/>
    </row>
    <row r="52" spans="1:13" x14ac:dyDescent="0.25">
      <c r="A52" s="29" t="s">
        <v>17</v>
      </c>
      <c r="B52" s="29"/>
      <c r="C52" s="126">
        <v>0</v>
      </c>
      <c r="D52" s="31"/>
      <c r="E52" s="24"/>
      <c r="F52" s="24"/>
      <c r="G52" s="3"/>
      <c r="H52" s="93">
        <v>239</v>
      </c>
      <c r="I52" s="93"/>
      <c r="J52" s="93"/>
      <c r="K52" s="63">
        <f t="shared" si="2"/>
        <v>239</v>
      </c>
      <c r="L52" s="118"/>
      <c r="M52" s="122"/>
    </row>
    <row r="53" spans="1:13" x14ac:dyDescent="0.25">
      <c r="A53" s="29" t="s">
        <v>16</v>
      </c>
      <c r="B53" s="29" t="s">
        <v>118</v>
      </c>
      <c r="C53" s="126">
        <v>12</v>
      </c>
      <c r="D53" s="31"/>
      <c r="E53" s="24"/>
      <c r="F53" s="24"/>
      <c r="G53" s="98"/>
      <c r="H53" s="93"/>
      <c r="I53" s="93"/>
      <c r="J53" s="93">
        <v>12</v>
      </c>
      <c r="K53" s="63">
        <f t="shared" si="2"/>
        <v>12</v>
      </c>
      <c r="L53" s="118">
        <v>12</v>
      </c>
      <c r="M53" s="122">
        <v>0</v>
      </c>
    </row>
    <row r="54" spans="1:13" x14ac:dyDescent="0.25">
      <c r="A54" s="28" t="s">
        <v>14</v>
      </c>
      <c r="B54" s="28"/>
      <c r="C54" s="26">
        <v>500</v>
      </c>
      <c r="D54" s="31"/>
      <c r="E54" s="24"/>
      <c r="F54" s="24"/>
      <c r="G54" s="98"/>
      <c r="H54" s="93"/>
      <c r="I54" s="93"/>
      <c r="J54" s="93"/>
      <c r="K54" s="63">
        <f t="shared" si="2"/>
        <v>0</v>
      </c>
      <c r="L54" s="116"/>
      <c r="M54" s="118">
        <v>250</v>
      </c>
    </row>
    <row r="55" spans="1:13" x14ac:dyDescent="0.25">
      <c r="A55" s="21" t="s">
        <v>13</v>
      </c>
      <c r="B55" s="28"/>
      <c r="C55" s="127">
        <f>SUM(C21:C54)</f>
        <v>8396</v>
      </c>
      <c r="D55" s="17">
        <f>SUM(D21:D54)</f>
        <v>158.01</v>
      </c>
      <c r="E55" s="17" t="e">
        <f t="shared" ref="E55:G55" si="3">SUM(E21:E54)</f>
        <v>#REF!</v>
      </c>
      <c r="F55" s="17" t="e">
        <f>SUM(F21:F54)</f>
        <v>#REF!</v>
      </c>
      <c r="G55" s="17">
        <f t="shared" si="3"/>
        <v>1592.3799999999999</v>
      </c>
      <c r="H55" s="17">
        <f>SUM(H21:H54)</f>
        <v>1407.59</v>
      </c>
      <c r="I55" s="17">
        <f>SUM(I21:I54)</f>
        <v>1452.23</v>
      </c>
      <c r="J55" s="17">
        <f>SUM(J21:J54)</f>
        <v>1657.15</v>
      </c>
      <c r="K55" s="96" t="e">
        <f>SUM(D55:J55)</f>
        <v>#REF!</v>
      </c>
      <c r="L55" s="118">
        <f>SUM(L21:L54)</f>
        <v>6151</v>
      </c>
      <c r="M55" s="118">
        <f>SUM(M21:M54)</f>
        <v>1911</v>
      </c>
    </row>
    <row r="56" spans="1:13" x14ac:dyDescent="0.25">
      <c r="A56" s="22"/>
      <c r="B56" s="30"/>
      <c r="C56" s="114"/>
      <c r="D56" s="23"/>
      <c r="E56" s="22"/>
      <c r="F56" s="22"/>
      <c r="G56" s="22"/>
      <c r="H56" s="22"/>
      <c r="I56" s="22"/>
      <c r="J56" s="22"/>
      <c r="K56" s="22"/>
      <c r="L56" s="223" t="s">
        <v>138</v>
      </c>
      <c r="M56" s="223"/>
    </row>
    <row r="57" spans="1:13" x14ac:dyDescent="0.25">
      <c r="A57" s="105"/>
      <c r="B57" s="106"/>
      <c r="C57" s="128"/>
      <c r="D57" s="105"/>
      <c r="E57" s="105"/>
      <c r="F57" s="105"/>
      <c r="G57" s="113"/>
      <c r="H57" s="105"/>
      <c r="I57" s="105"/>
      <c r="J57" s="105"/>
      <c r="K57" s="112"/>
      <c r="L57" s="129"/>
      <c r="M57" s="67"/>
    </row>
    <row r="58" spans="1:13" x14ac:dyDescent="0.25">
      <c r="A58" s="105"/>
      <c r="B58" s="130" t="s">
        <v>133</v>
      </c>
      <c r="C58" s="14"/>
      <c r="D58" s="105"/>
      <c r="E58" s="105"/>
      <c r="F58" s="105"/>
      <c r="G58" s="105"/>
      <c r="H58" s="105"/>
      <c r="I58" s="105"/>
      <c r="J58" s="130" t="s">
        <v>134</v>
      </c>
      <c r="K58" s="14"/>
      <c r="L58" s="105"/>
    </row>
    <row r="59" spans="1:13" x14ac:dyDescent="0.25">
      <c r="A59" s="105"/>
      <c r="B59" s="8" t="s">
        <v>96</v>
      </c>
      <c r="C59" s="131">
        <f>C4+C5</f>
        <v>7555.2800000000007</v>
      </c>
      <c r="D59" s="105"/>
      <c r="E59" s="105"/>
      <c r="F59" s="113"/>
      <c r="G59" s="105"/>
      <c r="H59" s="105"/>
      <c r="I59" s="105"/>
      <c r="J59" s="8" t="s">
        <v>96</v>
      </c>
      <c r="K59" s="131">
        <f>M4</f>
        <v>7554</v>
      </c>
      <c r="L59" s="105"/>
    </row>
    <row r="60" spans="1:13" x14ac:dyDescent="0.25">
      <c r="A60" s="105"/>
      <c r="B60" s="8" t="s">
        <v>10</v>
      </c>
      <c r="C60" s="131" t="e">
        <f>K17-K5-K4</f>
        <v>#REF!</v>
      </c>
      <c r="D60" s="132"/>
      <c r="E60" s="133"/>
      <c r="F60" s="113"/>
      <c r="G60" s="105"/>
      <c r="H60" s="105"/>
      <c r="I60" s="105"/>
      <c r="J60" s="8" t="s">
        <v>10</v>
      </c>
      <c r="K60" s="129">
        <f>L17+M8+M9</f>
        <v>5338</v>
      </c>
      <c r="L60" s="105"/>
    </row>
    <row r="61" spans="1:13" x14ac:dyDescent="0.25">
      <c r="A61" s="105"/>
      <c r="B61" s="8" t="s">
        <v>9</v>
      </c>
      <c r="C61" s="131" t="e">
        <f>K55</f>
        <v>#REF!</v>
      </c>
      <c r="D61" s="105"/>
      <c r="E61" s="133"/>
      <c r="F61" s="105"/>
      <c r="G61" s="105"/>
      <c r="H61" s="105"/>
      <c r="I61" s="105"/>
      <c r="J61" s="8" t="s">
        <v>9</v>
      </c>
      <c r="K61" s="131">
        <f>L55+M55</f>
        <v>8062</v>
      </c>
      <c r="L61" s="105"/>
    </row>
    <row r="62" spans="1:13" ht="17.25" x14ac:dyDescent="0.4">
      <c r="A62" s="105"/>
      <c r="B62" s="8" t="s">
        <v>8</v>
      </c>
      <c r="C62" s="134" t="e">
        <f>C59+C60-C61</f>
        <v>#REF!</v>
      </c>
      <c r="D62" s="105"/>
      <c r="E62" s="104"/>
      <c r="F62" s="105"/>
      <c r="G62" s="105"/>
      <c r="H62" s="135"/>
      <c r="I62" s="105"/>
      <c r="J62" s="8" t="s">
        <v>8</v>
      </c>
      <c r="K62" s="134">
        <f>K59+K60-K61</f>
        <v>4830</v>
      </c>
      <c r="L62" s="104"/>
    </row>
    <row r="63" spans="1:13" x14ac:dyDescent="0.25">
      <c r="A63" s="105"/>
      <c r="B63" s="130" t="s">
        <v>121</v>
      </c>
      <c r="C63" s="131"/>
      <c r="D63" s="105"/>
      <c r="E63" s="105"/>
      <c r="F63" s="105"/>
      <c r="G63" s="105"/>
      <c r="H63" s="105"/>
      <c r="I63" s="105"/>
      <c r="J63" s="130" t="s">
        <v>121</v>
      </c>
      <c r="K63" s="131"/>
      <c r="L63" s="105"/>
    </row>
    <row r="64" spans="1:13" x14ac:dyDescent="0.25">
      <c r="A64" s="105"/>
      <c r="B64" s="8" t="s">
        <v>6</v>
      </c>
      <c r="C64" s="131">
        <v>100</v>
      </c>
      <c r="D64" s="105"/>
      <c r="E64" s="105"/>
      <c r="F64" s="105"/>
      <c r="G64" s="105"/>
      <c r="H64" s="105"/>
      <c r="I64" s="105"/>
      <c r="J64" s="8" t="s">
        <v>6</v>
      </c>
      <c r="K64" s="131">
        <v>100</v>
      </c>
      <c r="L64" s="105"/>
    </row>
    <row r="65" spans="1:13" x14ac:dyDescent="0.25">
      <c r="A65" s="105"/>
      <c r="B65" s="8" t="s">
        <v>5</v>
      </c>
      <c r="C65" s="131">
        <f>6489.73-100-1294.78</f>
        <v>5094.95</v>
      </c>
      <c r="D65" s="104">
        <f>6247-C65-C64</f>
        <v>1052.0500000000002</v>
      </c>
      <c r="E65" s="105"/>
      <c r="F65" s="105"/>
      <c r="G65" s="105"/>
      <c r="H65" s="105"/>
      <c r="I65" s="105"/>
      <c r="J65" s="8" t="s">
        <v>5</v>
      </c>
      <c r="K65" s="131">
        <f>4514.73-1062.78-100</f>
        <v>3351.95</v>
      </c>
      <c r="L65" s="104">
        <f>K62-K67</f>
        <v>315.27000000000044</v>
      </c>
    </row>
    <row r="66" spans="1:13" x14ac:dyDescent="0.25">
      <c r="A66" s="105"/>
      <c r="B66" s="8" t="s">
        <v>95</v>
      </c>
      <c r="C66" s="131">
        <f>1533.78-H52</f>
        <v>1294.78</v>
      </c>
      <c r="D66" s="105"/>
      <c r="E66" s="105"/>
      <c r="F66" s="105"/>
      <c r="G66" s="105"/>
      <c r="H66" s="105"/>
      <c r="I66" s="105"/>
      <c r="J66" s="8" t="s">
        <v>95</v>
      </c>
      <c r="K66" s="131">
        <f>1294.78-60-172</f>
        <v>1062.78</v>
      </c>
      <c r="L66" s="105"/>
    </row>
    <row r="67" spans="1:13" ht="17.25" x14ac:dyDescent="0.4">
      <c r="A67" s="8"/>
      <c r="B67" s="128"/>
      <c r="C67" s="141">
        <f>SUM(C64:C66)</f>
        <v>6489.73</v>
      </c>
      <c r="D67" s="105"/>
      <c r="E67" s="105"/>
      <c r="F67" s="105"/>
      <c r="G67" s="105"/>
      <c r="H67" s="105"/>
      <c r="I67" s="105"/>
      <c r="J67" s="132"/>
      <c r="K67" s="134">
        <f>SUM(K64:K66)</f>
        <v>4514.7299999999996</v>
      </c>
      <c r="L67" s="105"/>
      <c r="M67" s="2"/>
    </row>
    <row r="68" spans="1:13" x14ac:dyDescent="0.25">
      <c r="A68" s="105"/>
      <c r="B68" s="106"/>
      <c r="C68" s="106"/>
      <c r="D68" s="105"/>
      <c r="E68" s="105"/>
      <c r="F68" s="105"/>
      <c r="G68" s="105"/>
      <c r="H68" s="105"/>
      <c r="I68" s="105"/>
      <c r="J68" s="105"/>
      <c r="K68" s="105"/>
      <c r="L68" s="106"/>
      <c r="M68" s="3"/>
    </row>
    <row r="69" spans="1:13" x14ac:dyDescent="0.25">
      <c r="A69" s="136"/>
      <c r="B69" s="137"/>
      <c r="C69" s="137"/>
      <c r="D69" s="132"/>
      <c r="E69" s="105"/>
      <c r="F69" s="105"/>
      <c r="G69" s="105"/>
      <c r="H69" s="105"/>
      <c r="I69" s="105"/>
      <c r="J69" s="105"/>
      <c r="K69" s="105"/>
      <c r="L69" s="137"/>
      <c r="M69" s="5"/>
    </row>
    <row r="70" spans="1:13" x14ac:dyDescent="0.25">
      <c r="A70" s="105"/>
      <c r="B70" s="106"/>
      <c r="C70" s="106"/>
      <c r="D70" s="105"/>
      <c r="E70" s="105"/>
      <c r="F70" s="105"/>
      <c r="G70" s="138"/>
      <c r="H70" s="105"/>
      <c r="I70" s="105"/>
      <c r="J70" s="105"/>
      <c r="K70" s="105"/>
      <c r="L70" s="106"/>
      <c r="M70" s="3"/>
    </row>
    <row r="71" spans="1:13" x14ac:dyDescent="0.25">
      <c r="G71" s="2"/>
    </row>
  </sheetData>
  <mergeCells count="6">
    <mergeCell ref="L56:M56"/>
    <mergeCell ref="A2:B2"/>
    <mergeCell ref="D2:J2"/>
    <mergeCell ref="L2:M2"/>
    <mergeCell ref="L18:M18"/>
    <mergeCell ref="A20:B20"/>
  </mergeCells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tabSelected="1" topLeftCell="B1" zoomScale="75" zoomScaleNormal="75" workbookViewId="0">
      <selection activeCell="B1" sqref="B1"/>
    </sheetView>
  </sheetViews>
  <sheetFormatPr defaultColWidth="24.28515625" defaultRowHeight="15" x14ac:dyDescent="0.25"/>
  <cols>
    <col min="1" max="1" width="37.42578125" customWidth="1"/>
    <col min="2" max="2" width="22.5703125" style="3" bestFit="1" customWidth="1"/>
    <col min="3" max="5" width="22.5703125" customWidth="1"/>
    <col min="6" max="6" width="11.5703125" customWidth="1"/>
    <col min="7" max="7" width="11.5703125" bestFit="1" customWidth="1"/>
    <col min="8" max="8" width="10.7109375" bestFit="1" customWidth="1"/>
    <col min="9" max="9" width="10.5703125" bestFit="1" customWidth="1"/>
    <col min="10" max="10" width="8.42578125" bestFit="1" customWidth="1"/>
    <col min="11" max="11" width="9.42578125" customWidth="1"/>
    <col min="12" max="12" width="13.7109375" bestFit="1" customWidth="1"/>
    <col min="13" max="13" width="10.5703125" bestFit="1" customWidth="1"/>
    <col min="14" max="14" width="14.28515625" customWidth="1"/>
  </cols>
  <sheetData>
    <row r="1" spans="1:17" x14ac:dyDescent="0.25">
      <c r="A1" s="58" t="s">
        <v>86</v>
      </c>
    </row>
    <row r="2" spans="1:17" x14ac:dyDescent="0.25">
      <c r="A2" s="224" t="s">
        <v>140</v>
      </c>
      <c r="B2" s="224"/>
      <c r="C2" s="230" t="s">
        <v>141</v>
      </c>
      <c r="D2" s="230"/>
      <c r="E2" s="182"/>
      <c r="F2" s="224"/>
      <c r="G2" s="224"/>
      <c r="H2" s="224"/>
      <c r="I2" s="224"/>
      <c r="J2" s="224"/>
      <c r="K2" s="224"/>
      <c r="L2" s="58"/>
      <c r="O2" t="s">
        <v>239</v>
      </c>
    </row>
    <row r="3" spans="1:17" x14ac:dyDescent="0.25">
      <c r="A3" s="55" t="s">
        <v>85</v>
      </c>
      <c r="B3" s="139"/>
      <c r="C3" s="151" t="s">
        <v>129</v>
      </c>
      <c r="D3" s="151" t="s">
        <v>130</v>
      </c>
      <c r="E3" s="151" t="s">
        <v>43</v>
      </c>
      <c r="F3" s="51" t="s">
        <v>81</v>
      </c>
      <c r="G3" s="50" t="s">
        <v>80</v>
      </c>
      <c r="H3" s="50" t="s">
        <v>79</v>
      </c>
      <c r="I3" s="50" t="s">
        <v>78</v>
      </c>
      <c r="J3" s="50" t="s">
        <v>77</v>
      </c>
      <c r="K3" s="50" t="s">
        <v>76</v>
      </c>
      <c r="L3" s="50" t="s">
        <v>75</v>
      </c>
      <c r="M3" s="161" t="s">
        <v>143</v>
      </c>
      <c r="N3" s="163" t="s">
        <v>144</v>
      </c>
      <c r="O3" s="213" t="s">
        <v>85</v>
      </c>
      <c r="P3" s="213" t="s">
        <v>240</v>
      </c>
      <c r="Q3" s="213" t="s">
        <v>242</v>
      </c>
    </row>
    <row r="4" spans="1:17" x14ac:dyDescent="0.25">
      <c r="A4" s="108" t="s">
        <v>142</v>
      </c>
      <c r="B4" s="46" t="s">
        <v>125</v>
      </c>
      <c r="C4" s="153">
        <f>6039.8+208.71</f>
        <v>6248.51</v>
      </c>
      <c r="D4" s="154"/>
      <c r="E4" s="154"/>
      <c r="F4" s="47"/>
      <c r="G4" s="47"/>
      <c r="H4" s="47"/>
      <c r="I4" s="47"/>
      <c r="J4" s="47"/>
      <c r="K4" s="47"/>
      <c r="L4" s="63">
        <f>C4</f>
        <v>6248.51</v>
      </c>
      <c r="M4" s="47"/>
      <c r="N4" s="164">
        <v>8323.18</v>
      </c>
      <c r="O4" s="214"/>
      <c r="P4" s="214"/>
      <c r="Q4" s="214"/>
    </row>
    <row r="5" spans="1:17" x14ac:dyDescent="0.25">
      <c r="A5" s="108"/>
      <c r="B5" s="46" t="s">
        <v>126</v>
      </c>
      <c r="C5" s="154">
        <v>1306.77</v>
      </c>
      <c r="D5" s="154"/>
      <c r="E5" s="154"/>
      <c r="F5" s="47"/>
      <c r="G5" s="47"/>
      <c r="H5" s="47"/>
      <c r="I5" s="47"/>
      <c r="J5" s="47"/>
      <c r="K5" s="47"/>
      <c r="L5" s="63">
        <f>C5</f>
        <v>1306.77</v>
      </c>
      <c r="M5" s="47"/>
      <c r="N5" s="165"/>
      <c r="O5" s="215"/>
      <c r="P5" s="214"/>
      <c r="Q5" s="214"/>
    </row>
    <row r="6" spans="1:17" x14ac:dyDescent="0.25">
      <c r="A6" s="108" t="s">
        <v>102</v>
      </c>
      <c r="B6" s="46"/>
      <c r="C6" s="154">
        <v>4871.3500000000004</v>
      </c>
      <c r="D6" s="154"/>
      <c r="E6" s="154"/>
      <c r="F6" s="157">
        <f>income!G8</f>
        <v>4871.3500000000004</v>
      </c>
      <c r="G6" s="157"/>
      <c r="H6" s="157"/>
      <c r="I6" s="157"/>
      <c r="J6" s="157"/>
      <c r="K6" s="157"/>
      <c r="L6" s="63">
        <f>SUM(F6:K6)</f>
        <v>4871.3500000000004</v>
      </c>
      <c r="M6" s="193">
        <f>L6/C6</f>
        <v>1</v>
      </c>
      <c r="N6" s="164">
        <v>4685</v>
      </c>
      <c r="O6" s="214">
        <v>4871</v>
      </c>
      <c r="P6" s="214"/>
      <c r="Q6" s="214"/>
    </row>
    <row r="7" spans="1:17" x14ac:dyDescent="0.25">
      <c r="A7" s="108" t="s">
        <v>145</v>
      </c>
      <c r="B7" s="46"/>
      <c r="C7" s="154">
        <v>448.65</v>
      </c>
      <c r="D7" s="154"/>
      <c r="E7" s="154"/>
      <c r="F7" s="157">
        <f>income!O9</f>
        <v>448.65</v>
      </c>
      <c r="G7" s="157"/>
      <c r="H7" s="157"/>
      <c r="I7" s="157"/>
      <c r="J7" s="157"/>
      <c r="K7" s="157"/>
      <c r="L7" s="63">
        <f t="shared" ref="L7:L16" si="0">SUM(F7:K7)</f>
        <v>448.65</v>
      </c>
      <c r="M7" s="193">
        <f t="shared" ref="M7:M17" si="1">L7/C7</f>
        <v>1</v>
      </c>
      <c r="N7" s="165">
        <v>442</v>
      </c>
      <c r="O7" s="214">
        <v>449</v>
      </c>
      <c r="P7" s="214"/>
      <c r="Q7" s="214"/>
    </row>
    <row r="8" spans="1:17" x14ac:dyDescent="0.25">
      <c r="A8" s="109" t="s">
        <v>71</v>
      </c>
      <c r="B8" s="28"/>
      <c r="C8" s="154">
        <v>0</v>
      </c>
      <c r="D8" s="154"/>
      <c r="E8" s="154"/>
      <c r="F8" s="157"/>
      <c r="G8" s="157"/>
      <c r="H8" s="157"/>
      <c r="I8" s="157"/>
      <c r="J8" s="157"/>
      <c r="K8" s="157"/>
      <c r="L8" s="63">
        <f t="shared" si="0"/>
        <v>0</v>
      </c>
      <c r="M8" s="193"/>
      <c r="N8" s="165">
        <v>508</v>
      </c>
      <c r="O8" s="214">
        <v>0</v>
      </c>
      <c r="P8" s="214"/>
      <c r="Q8" s="214"/>
    </row>
    <row r="9" spans="1:17" x14ac:dyDescent="0.25">
      <c r="A9" s="109" t="s">
        <v>70</v>
      </c>
      <c r="B9" s="28"/>
      <c r="C9" s="155"/>
      <c r="D9" s="154">
        <v>4</v>
      </c>
      <c r="E9" s="154"/>
      <c r="F9" s="157"/>
      <c r="G9" s="157">
        <v>1.01</v>
      </c>
      <c r="H9" s="158"/>
      <c r="I9" s="157">
        <v>1.05</v>
      </c>
      <c r="J9" s="157"/>
      <c r="K9" s="157"/>
      <c r="L9" s="63">
        <f t="shared" si="0"/>
        <v>2.06</v>
      </c>
      <c r="M9" s="193">
        <f>L9/D9</f>
        <v>0.51500000000000001</v>
      </c>
      <c r="N9" s="165">
        <v>4.16</v>
      </c>
      <c r="O9" s="215"/>
      <c r="P9" s="214">
        <v>3</v>
      </c>
      <c r="Q9" s="214"/>
    </row>
    <row r="10" spans="1:17" x14ac:dyDescent="0.25">
      <c r="A10" s="109" t="s">
        <v>69</v>
      </c>
      <c r="B10" s="43"/>
      <c r="C10" s="155"/>
      <c r="D10" s="154">
        <v>104</v>
      </c>
      <c r="E10" s="154"/>
      <c r="F10" s="157"/>
      <c r="G10" s="157">
        <f>102.21+2</f>
        <v>104.21</v>
      </c>
      <c r="H10" s="157"/>
      <c r="I10" s="157"/>
      <c r="J10" s="157"/>
      <c r="K10" s="157"/>
      <c r="L10" s="63">
        <f t="shared" si="0"/>
        <v>104.21</v>
      </c>
      <c r="M10" s="193">
        <f>L10/D10</f>
        <v>1.0020192307692306</v>
      </c>
      <c r="N10" s="165">
        <v>104.21</v>
      </c>
      <c r="O10" s="215"/>
      <c r="P10" s="214">
        <v>104</v>
      </c>
      <c r="Q10" s="214"/>
    </row>
    <row r="11" spans="1:17" x14ac:dyDescent="0.25">
      <c r="A11" s="109" t="s">
        <v>68</v>
      </c>
      <c r="B11" s="28"/>
      <c r="C11" s="154"/>
      <c r="D11" s="154"/>
      <c r="E11" s="154"/>
      <c r="F11" s="157"/>
      <c r="G11" s="157"/>
      <c r="H11" s="157"/>
      <c r="I11" s="157"/>
      <c r="J11" s="212">
        <v>800</v>
      </c>
      <c r="K11" s="157"/>
      <c r="L11" s="63">
        <f t="shared" si="0"/>
        <v>800</v>
      </c>
      <c r="M11" s="193"/>
      <c r="N11" s="165">
        <v>600</v>
      </c>
      <c r="O11" s="214"/>
      <c r="P11" s="214"/>
      <c r="Q11" s="214"/>
    </row>
    <row r="12" spans="1:17" x14ac:dyDescent="0.25">
      <c r="A12" s="109" t="s">
        <v>30</v>
      </c>
      <c r="B12" s="28"/>
      <c r="C12" s="154"/>
      <c r="D12" s="154">
        <f>7*15</f>
        <v>105</v>
      </c>
      <c r="E12" s="154"/>
      <c r="F12" s="157"/>
      <c r="G12" s="157"/>
      <c r="H12" s="157">
        <v>15</v>
      </c>
      <c r="I12" s="157"/>
      <c r="J12" s="157"/>
      <c r="K12" s="157"/>
      <c r="L12" s="63">
        <f t="shared" si="0"/>
        <v>15</v>
      </c>
      <c r="M12" s="193">
        <f>L12/D12</f>
        <v>0.14285714285714285</v>
      </c>
      <c r="N12" s="165">
        <v>0</v>
      </c>
      <c r="O12" s="214"/>
      <c r="P12" s="214"/>
      <c r="Q12" s="214"/>
    </row>
    <row r="13" spans="1:17" x14ac:dyDescent="0.25">
      <c r="A13" s="110" t="s">
        <v>19</v>
      </c>
      <c r="B13" s="28"/>
      <c r="C13" s="154"/>
      <c r="D13" s="154"/>
      <c r="E13" s="154"/>
      <c r="F13" s="157"/>
      <c r="G13" s="157"/>
      <c r="H13" s="157"/>
      <c r="I13" s="157"/>
      <c r="J13" s="157"/>
      <c r="K13" s="157"/>
      <c r="L13" s="63">
        <f t="shared" si="0"/>
        <v>0</v>
      </c>
      <c r="M13" s="193"/>
      <c r="N13" s="165">
        <v>505.53</v>
      </c>
      <c r="O13" s="214"/>
      <c r="P13" s="214"/>
      <c r="Q13" s="214"/>
    </row>
    <row r="14" spans="1:17" x14ac:dyDescent="0.25">
      <c r="A14" s="110" t="s">
        <v>66</v>
      </c>
      <c r="B14" s="43"/>
      <c r="C14" s="154"/>
      <c r="D14" s="154"/>
      <c r="E14" s="154"/>
      <c r="F14" s="159"/>
      <c r="G14" s="157"/>
      <c r="H14" s="157"/>
      <c r="I14" s="157"/>
      <c r="J14" s="157"/>
      <c r="K14" s="157"/>
      <c r="L14" s="63">
        <f t="shared" si="0"/>
        <v>0</v>
      </c>
      <c r="M14" s="193"/>
      <c r="N14" s="165">
        <v>60</v>
      </c>
      <c r="O14" s="214"/>
      <c r="P14" s="214"/>
      <c r="Q14" s="214"/>
    </row>
    <row r="15" spans="1:17" x14ac:dyDescent="0.25">
      <c r="A15" s="110" t="s">
        <v>65</v>
      </c>
      <c r="B15" s="43"/>
      <c r="C15" s="154"/>
      <c r="D15" s="154"/>
      <c r="E15" s="154"/>
      <c r="F15" s="159"/>
      <c r="G15" s="157">
        <f>453.5+449</f>
        <v>902.5</v>
      </c>
      <c r="H15" s="157">
        <v>76</v>
      </c>
      <c r="I15" s="157"/>
      <c r="J15" s="157"/>
      <c r="K15" s="157"/>
      <c r="L15" s="63">
        <f t="shared" si="0"/>
        <v>978.5</v>
      </c>
      <c r="M15" s="193"/>
      <c r="N15" s="165">
        <v>130</v>
      </c>
      <c r="O15" s="214"/>
      <c r="P15" s="214"/>
      <c r="Q15" s="214"/>
    </row>
    <row r="16" spans="1:17" ht="17.25" x14ac:dyDescent="0.4">
      <c r="A16" s="111" t="s">
        <v>43</v>
      </c>
      <c r="B16" s="28"/>
      <c r="C16" s="154"/>
      <c r="D16" s="154"/>
      <c r="E16" s="154"/>
      <c r="F16" s="160"/>
      <c r="G16" s="157"/>
      <c r="H16" s="157"/>
      <c r="I16" s="157"/>
      <c r="J16" s="157"/>
      <c r="K16" s="157"/>
      <c r="L16" s="63">
        <f t="shared" si="0"/>
        <v>0</v>
      </c>
      <c r="M16" s="193"/>
      <c r="N16" s="166"/>
      <c r="O16" s="214"/>
      <c r="P16" s="214"/>
      <c r="Q16" s="214"/>
    </row>
    <row r="17" spans="1:17" x14ac:dyDescent="0.25">
      <c r="B17" s="28"/>
      <c r="C17" s="154">
        <f>SUM(C4:C16)</f>
        <v>12875.28</v>
      </c>
      <c r="D17" s="154">
        <f>SUM(D4:D16)</f>
        <v>213</v>
      </c>
      <c r="E17" s="154">
        <v>0</v>
      </c>
      <c r="F17" s="17">
        <f>SUM(F6:F16)</f>
        <v>5320</v>
      </c>
      <c r="G17" s="17">
        <f t="shared" ref="G17:K17" si="2">SUM(G6:G16)</f>
        <v>1007.72</v>
      </c>
      <c r="H17" s="17">
        <f t="shared" si="2"/>
        <v>91</v>
      </c>
      <c r="I17" s="17">
        <f t="shared" si="2"/>
        <v>1.05</v>
      </c>
      <c r="J17" s="17">
        <f t="shared" si="2"/>
        <v>800</v>
      </c>
      <c r="K17" s="17">
        <f t="shared" si="2"/>
        <v>0</v>
      </c>
      <c r="L17" s="96">
        <f>SUM(L4:L16)</f>
        <v>14775.05</v>
      </c>
      <c r="M17" s="193">
        <f t="shared" si="1"/>
        <v>1.1475517425640451</v>
      </c>
      <c r="N17" s="165"/>
      <c r="O17" s="214"/>
      <c r="P17" s="214"/>
      <c r="Q17" s="214"/>
    </row>
    <row r="18" spans="1:17" x14ac:dyDescent="0.25">
      <c r="A18" s="40" t="s">
        <v>63</v>
      </c>
      <c r="B18" s="28"/>
      <c r="C18" s="233">
        <f>C17+D17</f>
        <v>13088.28</v>
      </c>
      <c r="D18" s="231"/>
      <c r="E18" s="232"/>
      <c r="F18" s="231"/>
      <c r="G18" s="232"/>
      <c r="H18" s="233"/>
      <c r="I18" s="232"/>
      <c r="J18" s="233"/>
      <c r="K18" s="232"/>
      <c r="L18" s="162"/>
      <c r="M18" s="162"/>
      <c r="N18" s="167">
        <v>15362.08</v>
      </c>
      <c r="O18" s="214"/>
      <c r="P18" s="214"/>
      <c r="Q18" s="214"/>
    </row>
    <row r="19" spans="1:17" x14ac:dyDescent="0.25">
      <c r="A19" s="33"/>
      <c r="B19" s="28"/>
      <c r="C19" s="168"/>
      <c r="D19" s="169"/>
      <c r="E19" s="169"/>
      <c r="F19" s="24"/>
      <c r="G19" s="24"/>
      <c r="H19" s="24"/>
      <c r="I19" s="24"/>
      <c r="J19" s="24"/>
      <c r="K19" s="24"/>
      <c r="L19" s="24"/>
      <c r="M19" s="23"/>
      <c r="N19" s="30"/>
      <c r="O19" s="214"/>
      <c r="P19" s="214"/>
      <c r="Q19" s="214"/>
    </row>
    <row r="20" spans="1:17" x14ac:dyDescent="0.25">
      <c r="A20" s="228" t="s">
        <v>109</v>
      </c>
      <c r="B20" s="229"/>
      <c r="C20" s="152" t="s">
        <v>131</v>
      </c>
      <c r="D20" s="152" t="s">
        <v>132</v>
      </c>
      <c r="E20" s="152" t="s">
        <v>43</v>
      </c>
      <c r="F20" s="152"/>
      <c r="G20" s="152"/>
      <c r="H20" s="152"/>
      <c r="I20" s="152"/>
      <c r="J20" s="152"/>
      <c r="K20" s="152"/>
      <c r="L20" s="152"/>
      <c r="M20" s="152"/>
      <c r="N20" s="152"/>
      <c r="O20" s="240" t="s">
        <v>131</v>
      </c>
      <c r="P20" s="240" t="s">
        <v>241</v>
      </c>
      <c r="Q20" s="240" t="s">
        <v>243</v>
      </c>
    </row>
    <row r="21" spans="1:17" x14ac:dyDescent="0.25">
      <c r="A21" s="28" t="s">
        <v>60</v>
      </c>
      <c r="B21" s="28" t="s">
        <v>59</v>
      </c>
      <c r="C21" s="154">
        <v>130</v>
      </c>
      <c r="D21" s="154"/>
      <c r="E21" s="154"/>
      <c r="F21" s="1">
        <f>expenditure!H4</f>
        <v>130</v>
      </c>
      <c r="G21" s="186"/>
      <c r="H21" s="24"/>
      <c r="I21" s="24"/>
      <c r="J21" s="24"/>
      <c r="K21" s="24"/>
      <c r="L21" s="63">
        <f>SUM(F21:K21)</f>
        <v>130</v>
      </c>
      <c r="M21" s="193">
        <f>L21/C21</f>
        <v>1</v>
      </c>
      <c r="N21" s="165">
        <v>130</v>
      </c>
      <c r="O21" s="214">
        <v>130</v>
      </c>
      <c r="P21" s="214"/>
      <c r="Q21" s="214"/>
    </row>
    <row r="22" spans="1:17" x14ac:dyDescent="0.25">
      <c r="A22" s="33" t="s">
        <v>58</v>
      </c>
      <c r="B22" s="28" t="s">
        <v>57</v>
      </c>
      <c r="C22" s="154"/>
      <c r="D22" s="154">
        <v>0</v>
      </c>
      <c r="E22" s="154"/>
      <c r="F22" s="186"/>
      <c r="G22" s="24"/>
      <c r="H22" s="24"/>
      <c r="I22" s="24"/>
      <c r="J22" s="24"/>
      <c r="K22" s="24"/>
      <c r="L22" s="63">
        <f t="shared" ref="L22:L54" si="3">SUM(F22:K22)</f>
        <v>0</v>
      </c>
      <c r="M22" s="193"/>
      <c r="N22" s="165">
        <v>0</v>
      </c>
      <c r="O22" s="216"/>
      <c r="P22" s="214"/>
      <c r="Q22" s="214"/>
    </row>
    <row r="23" spans="1:17" x14ac:dyDescent="0.25">
      <c r="A23" s="33"/>
      <c r="B23" s="28" t="s">
        <v>135</v>
      </c>
      <c r="C23" s="154"/>
      <c r="D23" s="154"/>
      <c r="E23" s="154"/>
      <c r="F23" s="186"/>
      <c r="G23" s="24"/>
      <c r="H23" s="24"/>
      <c r="I23" s="24"/>
      <c r="J23" s="24"/>
      <c r="K23" s="24"/>
      <c r="L23" s="63">
        <f t="shared" si="3"/>
        <v>0</v>
      </c>
      <c r="M23" s="193"/>
      <c r="N23" s="165">
        <v>0</v>
      </c>
      <c r="O23" s="216"/>
      <c r="P23" s="214"/>
      <c r="Q23" s="214"/>
    </row>
    <row r="24" spans="1:17" x14ac:dyDescent="0.25">
      <c r="A24" s="33"/>
      <c r="B24" s="28" t="s">
        <v>53</v>
      </c>
      <c r="C24" s="154"/>
      <c r="D24" s="154">
        <v>0</v>
      </c>
      <c r="E24" s="154"/>
      <c r="F24" s="186"/>
      <c r="G24" s="24"/>
      <c r="H24" s="30"/>
      <c r="I24" s="24"/>
      <c r="J24" s="24"/>
      <c r="K24" s="24"/>
      <c r="L24" s="63">
        <f t="shared" si="3"/>
        <v>0</v>
      </c>
      <c r="M24" s="193"/>
      <c r="N24" s="165">
        <v>500</v>
      </c>
      <c r="O24" s="216"/>
      <c r="P24" s="214"/>
      <c r="Q24" s="214"/>
    </row>
    <row r="25" spans="1:17" x14ac:dyDescent="0.25">
      <c r="A25" s="33" t="s">
        <v>52</v>
      </c>
      <c r="B25" s="28" t="s">
        <v>51</v>
      </c>
      <c r="C25" s="154"/>
      <c r="D25" s="154">
        <v>100</v>
      </c>
      <c r="E25" s="154"/>
      <c r="F25" s="186"/>
      <c r="G25" s="24"/>
      <c r="H25" s="30"/>
      <c r="I25" s="24"/>
      <c r="J25" s="24"/>
      <c r="K25" s="24"/>
      <c r="L25" s="63">
        <f t="shared" si="3"/>
        <v>0</v>
      </c>
      <c r="M25" s="193">
        <f>L25/D25</f>
        <v>0</v>
      </c>
      <c r="N25" s="165">
        <v>250</v>
      </c>
      <c r="O25" s="215"/>
      <c r="P25" s="214">
        <v>100</v>
      </c>
      <c r="Q25" s="214"/>
    </row>
    <row r="26" spans="1:17" x14ac:dyDescent="0.25">
      <c r="A26" s="33"/>
      <c r="B26" s="28" t="s">
        <v>50</v>
      </c>
      <c r="C26" s="154"/>
      <c r="D26" s="154">
        <v>50</v>
      </c>
      <c r="E26" s="154"/>
      <c r="F26" s="186"/>
      <c r="G26" s="24"/>
      <c r="H26" s="30"/>
      <c r="I26" s="24"/>
      <c r="J26" s="24"/>
      <c r="K26" s="24"/>
      <c r="L26" s="63">
        <f t="shared" si="3"/>
        <v>0</v>
      </c>
      <c r="M26" s="193">
        <f t="shared" ref="M26:M28" si="4">L26/D26</f>
        <v>0</v>
      </c>
      <c r="N26" s="165">
        <v>50</v>
      </c>
      <c r="O26" s="214"/>
      <c r="P26" s="214">
        <v>50</v>
      </c>
      <c r="Q26" s="214"/>
    </row>
    <row r="27" spans="1:17" x14ac:dyDescent="0.25">
      <c r="A27" s="33"/>
      <c r="B27" s="28" t="s">
        <v>49</v>
      </c>
      <c r="C27" s="154"/>
      <c r="D27" s="154">
        <v>100</v>
      </c>
      <c r="E27" s="154"/>
      <c r="F27" s="186"/>
      <c r="G27" s="24"/>
      <c r="H27" s="30"/>
      <c r="I27" s="24"/>
      <c r="J27" s="24"/>
      <c r="K27" s="24"/>
      <c r="L27" s="63">
        <f t="shared" si="3"/>
        <v>0</v>
      </c>
      <c r="M27" s="193">
        <f t="shared" si="4"/>
        <v>0</v>
      </c>
      <c r="N27" s="165">
        <v>150</v>
      </c>
      <c r="O27" s="214"/>
      <c r="P27" s="214">
        <v>100</v>
      </c>
      <c r="Q27" s="214"/>
    </row>
    <row r="28" spans="1:17" x14ac:dyDescent="0.25">
      <c r="A28" s="33"/>
      <c r="B28" s="28" t="s">
        <v>48</v>
      </c>
      <c r="C28" s="154"/>
      <c r="D28" s="154">
        <v>100</v>
      </c>
      <c r="E28" s="154"/>
      <c r="F28" s="186"/>
      <c r="G28" s="24"/>
      <c r="H28" s="24"/>
      <c r="I28" s="24"/>
      <c r="J28" s="24"/>
      <c r="K28" s="24"/>
      <c r="L28" s="63">
        <f t="shared" si="3"/>
        <v>0</v>
      </c>
      <c r="M28" s="193">
        <f t="shared" si="4"/>
        <v>0</v>
      </c>
      <c r="N28" s="165">
        <v>200</v>
      </c>
      <c r="O28" s="217"/>
      <c r="P28" s="214">
        <v>100</v>
      </c>
      <c r="Q28" s="214"/>
    </row>
    <row r="29" spans="1:17" x14ac:dyDescent="0.25">
      <c r="A29" s="33"/>
      <c r="B29" s="28" t="s">
        <v>47</v>
      </c>
      <c r="C29" s="154"/>
      <c r="D29" s="154">
        <v>0</v>
      </c>
      <c r="E29" s="154"/>
      <c r="F29" s="186"/>
      <c r="G29" s="24"/>
      <c r="H29" s="24"/>
      <c r="I29" s="24"/>
      <c r="J29" s="24"/>
      <c r="K29" s="24"/>
      <c r="L29" s="63">
        <f t="shared" si="3"/>
        <v>0</v>
      </c>
      <c r="M29" s="193"/>
      <c r="N29" s="171">
        <v>0</v>
      </c>
      <c r="O29" s="218"/>
      <c r="P29" s="214"/>
      <c r="Q29" s="214"/>
    </row>
    <row r="30" spans="1:17" x14ac:dyDescent="0.25">
      <c r="A30" s="28" t="s">
        <v>46</v>
      </c>
      <c r="B30" s="28" t="s">
        <v>45</v>
      </c>
      <c r="C30" s="154">
        <v>335</v>
      </c>
      <c r="D30" s="154"/>
      <c r="E30" s="154"/>
      <c r="F30" s="7">
        <v>332.12</v>
      </c>
      <c r="G30" s="186"/>
      <c r="H30" s="24"/>
      <c r="I30" s="24"/>
      <c r="J30" s="24"/>
      <c r="K30" s="24"/>
      <c r="L30" s="63">
        <f t="shared" si="3"/>
        <v>332.12</v>
      </c>
      <c r="M30" s="193">
        <f>L30/C30</f>
        <v>0.99140298507462687</v>
      </c>
      <c r="N30" s="165">
        <v>335.08</v>
      </c>
      <c r="O30" s="218">
        <v>335</v>
      </c>
      <c r="P30" s="214"/>
      <c r="Q30" s="214"/>
    </row>
    <row r="31" spans="1:17" x14ac:dyDescent="0.25">
      <c r="A31" s="28"/>
      <c r="B31" s="28" t="s">
        <v>44</v>
      </c>
      <c r="C31" s="154">
        <v>0</v>
      </c>
      <c r="D31" s="154">
        <v>0</v>
      </c>
      <c r="E31" s="154"/>
      <c r="F31" s="186">
        <v>453.5</v>
      </c>
      <c r="G31" s="24"/>
      <c r="H31" s="24"/>
      <c r="I31" s="24"/>
      <c r="J31" s="24"/>
      <c r="K31" s="24"/>
      <c r="L31" s="63">
        <f t="shared" si="3"/>
        <v>453.5</v>
      </c>
      <c r="M31" s="193"/>
      <c r="N31" s="165">
        <v>457.55</v>
      </c>
      <c r="O31" s="219">
        <v>460</v>
      </c>
      <c r="P31" s="214"/>
      <c r="Q31" s="214"/>
    </row>
    <row r="32" spans="1:17" x14ac:dyDescent="0.25">
      <c r="A32" s="28"/>
      <c r="B32" s="28" t="s">
        <v>43</v>
      </c>
      <c r="C32" s="154"/>
      <c r="D32" s="154">
        <v>0</v>
      </c>
      <c r="E32" s="154">
        <v>161</v>
      </c>
      <c r="F32" s="186">
        <v>161.36000000000001</v>
      </c>
      <c r="G32" s="24"/>
      <c r="H32" s="24"/>
      <c r="I32" s="24"/>
      <c r="J32" s="24"/>
      <c r="K32" s="24"/>
      <c r="L32" s="63">
        <f t="shared" si="3"/>
        <v>161.36000000000001</v>
      </c>
      <c r="M32" s="193">
        <f>L32/E32</f>
        <v>1.0022360248447206</v>
      </c>
      <c r="N32" s="165">
        <v>162.78</v>
      </c>
      <c r="O32" s="214"/>
      <c r="P32" s="214"/>
      <c r="Q32" s="214">
        <v>162</v>
      </c>
    </row>
    <row r="33" spans="1:17" x14ac:dyDescent="0.25">
      <c r="A33" s="28" t="s">
        <v>42</v>
      </c>
      <c r="B33" s="28" t="s">
        <v>41</v>
      </c>
      <c r="C33" s="154">
        <v>1843</v>
      </c>
      <c r="D33" s="154"/>
      <c r="E33" s="154"/>
      <c r="F33" s="1">
        <f>expenditure!J8</f>
        <v>153</v>
      </c>
      <c r="G33" s="186">
        <f>expenditure!J16</f>
        <v>612</v>
      </c>
      <c r="H33" s="45">
        <f>153*3</f>
        <v>459</v>
      </c>
      <c r="I33" s="45">
        <v>96</v>
      </c>
      <c r="J33" s="24"/>
      <c r="K33" s="24"/>
      <c r="L33" s="63">
        <f t="shared" si="3"/>
        <v>1320</v>
      </c>
      <c r="M33" s="193">
        <f>L33/C33</f>
        <v>0.716223548562127</v>
      </c>
      <c r="N33" s="165">
        <v>1530</v>
      </c>
      <c r="O33" s="214">
        <v>1900</v>
      </c>
      <c r="P33" s="214"/>
      <c r="Q33" s="214"/>
    </row>
    <row r="34" spans="1:17" x14ac:dyDescent="0.25">
      <c r="A34" s="33"/>
      <c r="B34" s="28" t="s">
        <v>40</v>
      </c>
      <c r="C34" s="154">
        <v>0</v>
      </c>
      <c r="D34" s="154"/>
      <c r="E34" s="154">
        <v>225</v>
      </c>
      <c r="F34" s="1">
        <f>expenditure!K5</f>
        <v>55</v>
      </c>
      <c r="G34" s="186">
        <f>expenditure!K21</f>
        <v>70</v>
      </c>
      <c r="H34" s="24"/>
      <c r="I34" s="24">
        <v>70</v>
      </c>
      <c r="J34" s="24"/>
      <c r="K34" s="24"/>
      <c r="L34" s="63">
        <f t="shared" si="3"/>
        <v>195</v>
      </c>
      <c r="M34" s="193">
        <f>L34/E34</f>
        <v>0.8666666666666667</v>
      </c>
      <c r="N34" s="165">
        <v>59.95</v>
      </c>
      <c r="O34" s="214"/>
      <c r="P34" s="214"/>
      <c r="Q34" s="214">
        <v>225</v>
      </c>
    </row>
    <row r="35" spans="1:17" x14ac:dyDescent="0.25">
      <c r="A35" s="28"/>
      <c r="B35" s="28" t="s">
        <v>39</v>
      </c>
      <c r="C35" s="154">
        <v>94</v>
      </c>
      <c r="D35" s="153"/>
      <c r="E35" s="155"/>
      <c r="F35" s="186"/>
      <c r="G35" s="24"/>
      <c r="H35" s="24">
        <f>expenditure!J31</f>
        <v>66</v>
      </c>
      <c r="I35" s="24"/>
      <c r="J35" s="24"/>
      <c r="K35" s="24"/>
      <c r="L35" s="63">
        <f t="shared" si="3"/>
        <v>66</v>
      </c>
      <c r="M35" s="193">
        <f>L35/C35</f>
        <v>0.7021276595744681</v>
      </c>
      <c r="N35" s="165">
        <v>162.26</v>
      </c>
      <c r="O35" s="214">
        <v>100</v>
      </c>
      <c r="P35" s="214"/>
      <c r="Q35" s="214"/>
    </row>
    <row r="36" spans="1:17" x14ac:dyDescent="0.25">
      <c r="A36" s="28"/>
      <c r="B36" s="28" t="s">
        <v>38</v>
      </c>
      <c r="C36" s="154">
        <v>220</v>
      </c>
      <c r="D36" s="154"/>
      <c r="E36" s="154"/>
      <c r="F36" s="1">
        <f>expenditure!J9</f>
        <v>220</v>
      </c>
      <c r="G36" s="186"/>
      <c r="H36" s="24"/>
      <c r="I36" s="24"/>
      <c r="J36" s="24"/>
      <c r="K36" s="24"/>
      <c r="L36" s="63">
        <f t="shared" si="3"/>
        <v>220</v>
      </c>
      <c r="M36" s="193">
        <f>L36/C36</f>
        <v>1</v>
      </c>
      <c r="N36" s="165">
        <v>0</v>
      </c>
      <c r="O36" s="214"/>
      <c r="P36" s="214"/>
      <c r="Q36" s="214"/>
    </row>
    <row r="37" spans="1:17" x14ac:dyDescent="0.25">
      <c r="A37" s="33"/>
      <c r="B37" s="28" t="s">
        <v>37</v>
      </c>
      <c r="C37" s="154"/>
      <c r="D37" s="153">
        <v>355</v>
      </c>
      <c r="E37" s="155"/>
      <c r="F37" s="186"/>
      <c r="G37" s="24"/>
      <c r="H37" s="24"/>
      <c r="I37" s="24"/>
      <c r="J37" s="24"/>
      <c r="K37" s="212">
        <v>800</v>
      </c>
      <c r="L37" s="63">
        <f t="shared" si="3"/>
        <v>800</v>
      </c>
      <c r="M37" s="193">
        <f>L37/D37</f>
        <v>2.2535211267605635</v>
      </c>
      <c r="N37" s="165">
        <v>0</v>
      </c>
      <c r="O37" s="214">
        <v>500</v>
      </c>
      <c r="P37" s="214"/>
      <c r="Q37" s="214"/>
    </row>
    <row r="38" spans="1:17" x14ac:dyDescent="0.25">
      <c r="A38" s="28" t="s">
        <v>36</v>
      </c>
      <c r="B38" s="28" t="s">
        <v>35</v>
      </c>
      <c r="C38" s="154">
        <v>1933</v>
      </c>
      <c r="D38" s="154"/>
      <c r="E38" s="154"/>
      <c r="F38" s="186"/>
      <c r="G38" s="24">
        <f>expenditure!M18+expenditure!N19</f>
        <v>474.03000000000003</v>
      </c>
      <c r="H38" s="45">
        <f>383.2+expenditure!N29</f>
        <v>478.79999999999995</v>
      </c>
      <c r="I38" s="212">
        <v>251.95</v>
      </c>
      <c r="J38" s="24"/>
      <c r="K38" s="212">
        <v>468.51</v>
      </c>
      <c r="L38" s="63">
        <f t="shared" si="3"/>
        <v>1673.29</v>
      </c>
      <c r="M38" s="193">
        <f>L38/C38</f>
        <v>0.86564407656492492</v>
      </c>
      <c r="N38" s="165">
        <f>1516.92+379.2</f>
        <v>1896.1200000000001</v>
      </c>
      <c r="O38" s="214">
        <v>1900</v>
      </c>
      <c r="P38" s="214"/>
      <c r="Q38" s="214"/>
    </row>
    <row r="39" spans="1:17" x14ac:dyDescent="0.25">
      <c r="A39" s="33"/>
      <c r="B39" s="28" t="s">
        <v>34</v>
      </c>
      <c r="C39" s="154">
        <v>80</v>
      </c>
      <c r="D39" s="154"/>
      <c r="E39" s="154"/>
      <c r="F39" s="186"/>
      <c r="G39" s="24"/>
      <c r="H39" s="24">
        <v>40</v>
      </c>
      <c r="I39" s="24"/>
      <c r="J39" s="24"/>
      <c r="K39" s="24"/>
      <c r="L39" s="63">
        <f t="shared" si="3"/>
        <v>40</v>
      </c>
      <c r="M39" s="193">
        <f t="shared" ref="M39:M41" si="5">L39/C39</f>
        <v>0.5</v>
      </c>
      <c r="N39" s="165">
        <v>80</v>
      </c>
      <c r="O39" s="214">
        <v>80</v>
      </c>
      <c r="P39" s="214"/>
      <c r="Q39" s="214"/>
    </row>
    <row r="40" spans="1:17" x14ac:dyDescent="0.25">
      <c r="A40" s="28" t="s">
        <v>33</v>
      </c>
      <c r="B40" s="28" t="s">
        <v>32</v>
      </c>
      <c r="C40" s="154">
        <v>100</v>
      </c>
      <c r="D40" s="154"/>
      <c r="E40" s="154"/>
      <c r="F40" s="186"/>
      <c r="G40" s="24"/>
      <c r="H40" s="24"/>
      <c r="I40" s="24"/>
      <c r="J40" s="24"/>
      <c r="K40" s="24"/>
      <c r="L40" s="63">
        <f t="shared" si="3"/>
        <v>0</v>
      </c>
      <c r="M40" s="193">
        <f t="shared" si="5"/>
        <v>0</v>
      </c>
      <c r="N40" s="165">
        <v>100</v>
      </c>
      <c r="O40" s="214">
        <v>100</v>
      </c>
      <c r="P40" s="214"/>
      <c r="Q40" s="214"/>
    </row>
    <row r="41" spans="1:17" x14ac:dyDescent="0.25">
      <c r="A41" s="28"/>
      <c r="B41" s="28" t="s">
        <v>119</v>
      </c>
      <c r="C41" s="154">
        <v>150</v>
      </c>
      <c r="D41" s="154"/>
      <c r="E41" s="154"/>
      <c r="F41" s="186">
        <f>expenditure!H10</f>
        <v>15</v>
      </c>
      <c r="G41" s="24">
        <f>expenditure!H17</f>
        <v>17</v>
      </c>
      <c r="H41" s="24">
        <f>30</f>
        <v>30</v>
      </c>
      <c r="I41" s="212">
        <v>17</v>
      </c>
      <c r="J41" s="24"/>
      <c r="K41" s="212">
        <v>17</v>
      </c>
      <c r="L41" s="63">
        <f t="shared" si="3"/>
        <v>96</v>
      </c>
      <c r="M41" s="193">
        <f t="shared" si="5"/>
        <v>0.64</v>
      </c>
      <c r="N41" s="165">
        <v>142.17000000000002</v>
      </c>
      <c r="O41" s="214">
        <v>150</v>
      </c>
      <c r="P41" s="214"/>
      <c r="Q41" s="214"/>
    </row>
    <row r="42" spans="1:17" x14ac:dyDescent="0.25">
      <c r="A42" s="28"/>
      <c r="B42" s="28" t="s">
        <v>30</v>
      </c>
      <c r="C42" s="154">
        <v>0</v>
      </c>
      <c r="D42" s="154">
        <v>150</v>
      </c>
      <c r="E42" s="154"/>
      <c r="F42" s="186"/>
      <c r="G42" s="24">
        <f>150</f>
        <v>150</v>
      </c>
      <c r="H42" s="24"/>
      <c r="I42" s="24"/>
      <c r="J42" s="24"/>
      <c r="K42" s="24"/>
      <c r="L42" s="63">
        <f t="shared" si="3"/>
        <v>150</v>
      </c>
      <c r="M42" s="193">
        <f>L42/D42</f>
        <v>1</v>
      </c>
      <c r="N42" s="165">
        <v>0</v>
      </c>
      <c r="O42" s="214">
        <v>200</v>
      </c>
      <c r="P42" s="214"/>
      <c r="Q42" s="214"/>
    </row>
    <row r="43" spans="1:17" x14ac:dyDescent="0.25">
      <c r="A43" s="28" t="s">
        <v>29</v>
      </c>
      <c r="B43" s="28" t="s">
        <v>28</v>
      </c>
      <c r="C43" s="154">
        <v>80</v>
      </c>
      <c r="D43" s="154"/>
      <c r="E43" s="154"/>
      <c r="F43" s="186"/>
      <c r="G43" s="24"/>
      <c r="H43" s="30"/>
      <c r="I43" s="24"/>
      <c r="J43" s="24"/>
      <c r="K43" s="24"/>
      <c r="L43" s="63">
        <f t="shared" si="3"/>
        <v>0</v>
      </c>
      <c r="M43" s="193">
        <f>L43/C43</f>
        <v>0</v>
      </c>
      <c r="N43" s="165">
        <v>67.72</v>
      </c>
      <c r="O43" s="214">
        <v>80</v>
      </c>
      <c r="P43" s="214"/>
      <c r="Q43" s="214"/>
    </row>
    <row r="44" spans="1:17" x14ac:dyDescent="0.25">
      <c r="A44" s="28" t="s">
        <v>26</v>
      </c>
      <c r="B44" s="32"/>
      <c r="C44" s="154">
        <v>63</v>
      </c>
      <c r="D44" s="156"/>
      <c r="E44" s="156"/>
      <c r="G44" s="24"/>
      <c r="H44" s="209">
        <f>expenditure!H30</f>
        <v>28</v>
      </c>
      <c r="I44" s="24"/>
      <c r="J44" s="24"/>
      <c r="K44" s="24"/>
      <c r="L44" s="63">
        <f t="shared" si="3"/>
        <v>28</v>
      </c>
      <c r="M44" s="193">
        <f t="shared" ref="M44:M48" si="6">L44/C44</f>
        <v>0.44444444444444442</v>
      </c>
      <c r="N44" s="165">
        <v>84</v>
      </c>
      <c r="O44" s="214">
        <v>70</v>
      </c>
      <c r="P44" s="214"/>
      <c r="Q44" s="214"/>
    </row>
    <row r="45" spans="1:17" x14ac:dyDescent="0.25">
      <c r="A45" s="28" t="s">
        <v>25</v>
      </c>
      <c r="B45" s="28"/>
      <c r="C45" s="154">
        <f>80*3</f>
        <v>240</v>
      </c>
      <c r="D45" s="153"/>
      <c r="E45" s="153"/>
      <c r="F45" s="186">
        <f>expenditure!I7</f>
        <v>115.42</v>
      </c>
      <c r="G45" s="186"/>
      <c r="H45" s="24"/>
      <c r="I45" s="24"/>
      <c r="J45" s="24"/>
      <c r="K45" s="212">
        <v>80</v>
      </c>
      <c r="L45" s="63">
        <f>SUM(F45:K45)</f>
        <v>195.42000000000002</v>
      </c>
      <c r="M45" s="193">
        <f t="shared" si="6"/>
        <v>0.81425000000000003</v>
      </c>
      <c r="N45" s="165">
        <v>238.07999999999998</v>
      </c>
      <c r="O45" s="214">
        <v>240</v>
      </c>
      <c r="P45" s="214"/>
      <c r="Q45" s="214"/>
    </row>
    <row r="46" spans="1:17" x14ac:dyDescent="0.25">
      <c r="A46" s="28" t="s">
        <v>24</v>
      </c>
      <c r="B46" s="28" t="s">
        <v>23</v>
      </c>
      <c r="C46" s="154">
        <v>140</v>
      </c>
      <c r="D46" s="154"/>
      <c r="E46" s="154"/>
      <c r="F46" s="186"/>
      <c r="G46" s="24">
        <v>77</v>
      </c>
      <c r="H46" s="24"/>
      <c r="I46" s="24"/>
      <c r="J46" s="24"/>
      <c r="K46" s="24"/>
      <c r="L46" s="63">
        <f t="shared" si="3"/>
        <v>77</v>
      </c>
      <c r="M46" s="193">
        <f t="shared" si="6"/>
        <v>0.55000000000000004</v>
      </c>
      <c r="N46" s="165">
        <v>360.5</v>
      </c>
      <c r="O46" s="214"/>
      <c r="P46" s="214"/>
      <c r="Q46" s="214"/>
    </row>
    <row r="47" spans="1:17" x14ac:dyDescent="0.25">
      <c r="A47" s="28" t="s">
        <v>22</v>
      </c>
      <c r="B47" s="28"/>
      <c r="C47" s="154">
        <v>35</v>
      </c>
      <c r="D47" s="154"/>
      <c r="E47" s="154"/>
      <c r="F47" s="186"/>
      <c r="G47" s="24"/>
      <c r="H47" s="24">
        <v>35</v>
      </c>
      <c r="I47" s="24"/>
      <c r="J47" s="24"/>
      <c r="K47" s="24"/>
      <c r="L47" s="63">
        <f t="shared" si="3"/>
        <v>35</v>
      </c>
      <c r="M47" s="193">
        <f t="shared" si="6"/>
        <v>1</v>
      </c>
      <c r="N47" s="165">
        <v>35</v>
      </c>
      <c r="O47" s="214">
        <v>35</v>
      </c>
      <c r="P47" s="214"/>
      <c r="Q47" s="214"/>
    </row>
    <row r="48" spans="1:17" x14ac:dyDescent="0.25">
      <c r="A48" s="28" t="s">
        <v>21</v>
      </c>
      <c r="B48" s="28" t="s">
        <v>20</v>
      </c>
      <c r="C48" s="154">
        <v>80</v>
      </c>
      <c r="D48" s="154"/>
      <c r="E48" s="154"/>
      <c r="F48" s="186"/>
      <c r="G48" s="24"/>
      <c r="H48" s="24">
        <v>67.87</v>
      </c>
      <c r="I48" s="24"/>
      <c r="J48" s="24"/>
      <c r="K48" s="30"/>
      <c r="L48" s="63">
        <f t="shared" si="3"/>
        <v>67.87</v>
      </c>
      <c r="M48" s="193">
        <f t="shared" si="6"/>
        <v>0.8483750000000001</v>
      </c>
      <c r="N48" s="165">
        <v>78.37</v>
      </c>
      <c r="O48" s="214">
        <v>70</v>
      </c>
      <c r="P48" s="214"/>
      <c r="Q48" s="214"/>
    </row>
    <row r="49" spans="1:17" x14ac:dyDescent="0.25">
      <c r="A49" s="29" t="s">
        <v>19</v>
      </c>
      <c r="B49" s="29" t="s">
        <v>18</v>
      </c>
      <c r="C49" s="154"/>
      <c r="D49" s="156"/>
      <c r="E49" s="156"/>
      <c r="F49" s="1">
        <f>85.6</f>
        <v>85.6</v>
      </c>
      <c r="G49" s="186">
        <f>expenditure!R22</f>
        <v>223.17000000000002</v>
      </c>
      <c r="H49" s="24">
        <f>expenditure!R32</f>
        <v>122.98000000000002</v>
      </c>
      <c r="I49" s="24"/>
      <c r="J49" s="24"/>
      <c r="K49" s="24"/>
      <c r="L49" s="63">
        <f t="shared" si="3"/>
        <v>431.75</v>
      </c>
      <c r="M49" s="193"/>
      <c r="N49" s="165">
        <v>486.22</v>
      </c>
      <c r="O49" s="214"/>
      <c r="P49" s="214"/>
      <c r="Q49" s="214"/>
    </row>
    <row r="50" spans="1:17" x14ac:dyDescent="0.25">
      <c r="A50" s="29" t="s">
        <v>17</v>
      </c>
      <c r="B50" s="29"/>
      <c r="C50" s="154"/>
      <c r="D50" s="156"/>
      <c r="E50" s="156"/>
      <c r="F50" s="186"/>
      <c r="G50" s="24"/>
      <c r="H50" s="30"/>
      <c r="I50" s="24"/>
      <c r="J50" s="24"/>
      <c r="K50" s="24"/>
      <c r="L50" s="63">
        <f t="shared" si="3"/>
        <v>0</v>
      </c>
      <c r="M50" s="193"/>
      <c r="N50" s="165">
        <v>239</v>
      </c>
      <c r="O50" s="214"/>
      <c r="P50" s="214"/>
      <c r="Q50" s="214">
        <v>250</v>
      </c>
    </row>
    <row r="51" spans="1:17" x14ac:dyDescent="0.25">
      <c r="A51" s="29" t="s">
        <v>48</v>
      </c>
      <c r="B51" s="29" t="s">
        <v>118</v>
      </c>
      <c r="C51" s="154">
        <v>12</v>
      </c>
      <c r="D51" s="156"/>
      <c r="E51" s="156"/>
      <c r="F51" s="186"/>
      <c r="G51" s="24"/>
      <c r="H51" s="30"/>
      <c r="I51" s="24"/>
      <c r="J51" s="24"/>
      <c r="K51" s="24"/>
      <c r="L51" s="63"/>
      <c r="M51" s="193">
        <f>L51/C51</f>
        <v>0</v>
      </c>
      <c r="N51" s="165"/>
      <c r="O51" s="214">
        <v>12</v>
      </c>
      <c r="P51" s="214"/>
      <c r="Q51" s="214"/>
    </row>
    <row r="52" spans="1:17" x14ac:dyDescent="0.25">
      <c r="A52" s="29"/>
      <c r="B52" s="29" t="s">
        <v>169</v>
      </c>
      <c r="C52" s="154"/>
      <c r="D52" s="156">
        <v>0</v>
      </c>
      <c r="E52" s="156"/>
      <c r="F52" s="186"/>
      <c r="G52" s="24">
        <v>396.85</v>
      </c>
      <c r="H52" s="24"/>
      <c r="I52" s="24"/>
      <c r="J52" s="24"/>
      <c r="K52" s="24"/>
      <c r="L52" s="63">
        <f t="shared" si="3"/>
        <v>396.85</v>
      </c>
      <c r="M52" s="193"/>
      <c r="N52" s="165">
        <v>12</v>
      </c>
      <c r="O52" s="214"/>
      <c r="P52" s="214"/>
      <c r="Q52" s="214"/>
    </row>
    <row r="53" spans="1:17" x14ac:dyDescent="0.25">
      <c r="A53" s="28" t="s">
        <v>14</v>
      </c>
      <c r="B53" s="28"/>
      <c r="C53" s="153"/>
      <c r="D53" s="154">
        <v>250</v>
      </c>
      <c r="E53" s="154"/>
      <c r="F53" s="186"/>
      <c r="G53" s="24"/>
      <c r="H53" s="24"/>
      <c r="I53" s="24"/>
      <c r="J53" s="24"/>
      <c r="K53" s="24"/>
      <c r="L53" s="63">
        <f t="shared" si="3"/>
        <v>0</v>
      </c>
      <c r="M53" s="193">
        <f>L53/D53</f>
        <v>0</v>
      </c>
      <c r="N53" s="165">
        <v>0</v>
      </c>
      <c r="O53" s="214"/>
      <c r="P53" s="214">
        <v>250</v>
      </c>
      <c r="Q53" s="214"/>
    </row>
    <row r="54" spans="1:17" x14ac:dyDescent="0.25">
      <c r="A54" s="21" t="s">
        <v>13</v>
      </c>
      <c r="B54" s="21"/>
      <c r="C54" s="154">
        <f t="shared" ref="C54:K54" si="7">SUM(C21:C53)</f>
        <v>5535</v>
      </c>
      <c r="D54" s="154">
        <f t="shared" si="7"/>
        <v>1105</v>
      </c>
      <c r="E54" s="154">
        <f t="shared" si="7"/>
        <v>386</v>
      </c>
      <c r="F54" s="185">
        <f t="shared" si="7"/>
        <v>1721</v>
      </c>
      <c r="G54" s="17">
        <f t="shared" si="7"/>
        <v>2020.0500000000002</v>
      </c>
      <c r="H54" s="17">
        <f t="shared" si="7"/>
        <v>1327.65</v>
      </c>
      <c r="I54" s="17">
        <f t="shared" si="7"/>
        <v>434.95</v>
      </c>
      <c r="J54" s="17">
        <f t="shared" si="7"/>
        <v>0</v>
      </c>
      <c r="K54" s="17">
        <f t="shared" si="7"/>
        <v>1365.51</v>
      </c>
      <c r="L54" s="96">
        <f t="shared" si="3"/>
        <v>6869.1600000000008</v>
      </c>
      <c r="M54" s="193">
        <f>L54/C55</f>
        <v>0.97767719897523497</v>
      </c>
      <c r="N54" s="165"/>
      <c r="O54" s="221">
        <f t="shared" ref="O54:Q54" si="8">SUM(O21:O53)</f>
        <v>6362</v>
      </c>
      <c r="P54" s="221">
        <f t="shared" si="8"/>
        <v>600</v>
      </c>
      <c r="Q54" s="221">
        <f t="shared" si="8"/>
        <v>637</v>
      </c>
    </row>
    <row r="55" spans="1:17" x14ac:dyDescent="0.25">
      <c r="A55" s="22"/>
      <c r="B55" s="30"/>
      <c r="C55" s="235">
        <f>C54+D54+E54</f>
        <v>7026</v>
      </c>
      <c r="D55" s="236"/>
      <c r="E55" s="237"/>
      <c r="F55" s="234"/>
      <c r="G55" s="234"/>
      <c r="H55" s="234"/>
      <c r="I55" s="234"/>
      <c r="J55" s="234"/>
      <c r="K55" s="234"/>
      <c r="L55" s="234"/>
      <c r="M55" s="234"/>
      <c r="N55" s="170">
        <f>SUM(N21:N54)</f>
        <v>7806.8</v>
      </c>
      <c r="O55" s="220" t="s">
        <v>244</v>
      </c>
      <c r="P55" s="222">
        <f>SUM(O54+P54+Q54)</f>
        <v>7599</v>
      </c>
      <c r="Q55" s="220"/>
    </row>
    <row r="56" spans="1:17" x14ac:dyDescent="0.25">
      <c r="A56" s="105"/>
      <c r="B56" s="106"/>
      <c r="C56" s="129"/>
      <c r="D56" s="67"/>
      <c r="E56" s="67"/>
      <c r="F56" s="105"/>
      <c r="G56" s="105"/>
      <c r="H56" s="113"/>
      <c r="I56" s="105"/>
      <c r="J56" s="105"/>
      <c r="K56" s="105"/>
      <c r="L56" s="112"/>
    </row>
    <row r="57" spans="1:17" x14ac:dyDescent="0.25">
      <c r="A57" s="199"/>
      <c r="B57" s="172"/>
      <c r="C57" s="105"/>
      <c r="F57" s="105"/>
      <c r="G57" s="105"/>
      <c r="H57" s="105"/>
      <c r="I57" s="105"/>
      <c r="J57" s="105"/>
      <c r="K57" s="130"/>
      <c r="L57" s="14"/>
    </row>
    <row r="58" spans="1:17" x14ac:dyDescent="0.25">
      <c r="A58" s="210" t="s">
        <v>230</v>
      </c>
      <c r="B58" s="172"/>
      <c r="C58" s="105"/>
      <c r="H58" s="105"/>
      <c r="I58" s="105"/>
      <c r="J58" s="105"/>
      <c r="K58" s="8"/>
      <c r="L58" s="131"/>
    </row>
    <row r="59" spans="1:17" x14ac:dyDescent="0.25">
      <c r="A59" s="178" t="s">
        <v>96</v>
      </c>
      <c r="B59" s="173">
        <f>C4+C5</f>
        <v>7555.2800000000007</v>
      </c>
      <c r="C59" s="105"/>
      <c r="H59" s="105"/>
      <c r="I59" s="104"/>
      <c r="J59" s="105"/>
      <c r="K59" s="8"/>
      <c r="L59" s="129"/>
    </row>
    <row r="60" spans="1:17" x14ac:dyDescent="0.25">
      <c r="A60" s="178" t="s">
        <v>10</v>
      </c>
      <c r="B60" s="173">
        <f>L17-L5-L4</f>
        <v>7219.7699999999986</v>
      </c>
      <c r="C60" s="104"/>
      <c r="H60" s="105"/>
      <c r="I60" s="105"/>
      <c r="J60" s="105"/>
      <c r="K60" s="8"/>
      <c r="L60" s="131"/>
    </row>
    <row r="61" spans="1:17" ht="17.25" x14ac:dyDescent="0.4">
      <c r="A61" s="178" t="s">
        <v>9</v>
      </c>
      <c r="B61" s="173">
        <f>L54</f>
        <v>6869.1600000000008</v>
      </c>
      <c r="C61" s="105"/>
      <c r="H61" s="105"/>
      <c r="I61" s="135"/>
      <c r="J61" s="105"/>
      <c r="K61" s="8"/>
      <c r="L61" s="134"/>
    </row>
    <row r="62" spans="1:17" ht="17.25" x14ac:dyDescent="0.4">
      <c r="A62" s="178" t="s">
        <v>8</v>
      </c>
      <c r="C62" s="174">
        <f>B59+B60-B61</f>
        <v>7905.8899999999985</v>
      </c>
      <c r="H62" s="105"/>
      <c r="I62" s="104"/>
      <c r="J62" s="105"/>
      <c r="K62" s="130"/>
      <c r="L62" s="131"/>
    </row>
    <row r="63" spans="1:17" x14ac:dyDescent="0.25">
      <c r="A63" s="210" t="s">
        <v>227</v>
      </c>
      <c r="B63" s="173"/>
      <c r="C63" s="105"/>
      <c r="H63" s="105"/>
      <c r="I63" s="104"/>
      <c r="J63" s="105"/>
      <c r="K63" s="8"/>
      <c r="L63" s="131"/>
    </row>
    <row r="64" spans="1:17" x14ac:dyDescent="0.25">
      <c r="A64" s="178" t="s">
        <v>6</v>
      </c>
      <c r="B64" s="173">
        <v>1786.92</v>
      </c>
      <c r="C64" s="105"/>
      <c r="D64" s="85" t="s">
        <v>231</v>
      </c>
      <c r="H64" s="105"/>
      <c r="I64" s="105"/>
      <c r="J64" s="105"/>
      <c r="K64" s="8"/>
      <c r="L64" s="131"/>
    </row>
    <row r="65" spans="1:12" x14ac:dyDescent="0.25">
      <c r="A65" s="178" t="s">
        <v>5</v>
      </c>
      <c r="B65" s="173">
        <v>6041.86</v>
      </c>
      <c r="C65" s="105"/>
      <c r="D65" s="85" t="s">
        <v>232</v>
      </c>
      <c r="E65" s="1"/>
      <c r="H65" s="104"/>
      <c r="I65" s="105"/>
      <c r="J65" s="105"/>
      <c r="K65" s="8"/>
      <c r="L65" s="131"/>
    </row>
    <row r="66" spans="1:12" ht="17.25" x14ac:dyDescent="0.4">
      <c r="A66" s="178" t="s">
        <v>95</v>
      </c>
      <c r="B66" s="173">
        <v>1156.77</v>
      </c>
      <c r="C66" s="105"/>
      <c r="D66" s="85" t="s">
        <v>233</v>
      </c>
      <c r="H66" s="105"/>
      <c r="I66" s="105"/>
      <c r="J66" s="105"/>
      <c r="K66" s="132"/>
      <c r="L66" s="134"/>
    </row>
    <row r="67" spans="1:12" ht="17.25" x14ac:dyDescent="0.4">
      <c r="A67" s="175"/>
      <c r="B67" s="198">
        <f>SUM(B64:B66)</f>
        <v>8985.5499999999993</v>
      </c>
      <c r="H67" s="105"/>
      <c r="I67" s="105"/>
      <c r="J67" s="105"/>
      <c r="K67" s="105"/>
      <c r="L67" s="105"/>
    </row>
    <row r="68" spans="1:12" x14ac:dyDescent="0.25">
      <c r="A68" s="5"/>
      <c r="B68" s="176"/>
      <c r="C68" s="177"/>
      <c r="D68" s="106"/>
      <c r="H68" s="105"/>
      <c r="I68" s="105"/>
      <c r="J68" s="105"/>
      <c r="K68" s="105"/>
      <c r="L68" s="105"/>
    </row>
    <row r="69" spans="1:12" ht="17.25" x14ac:dyDescent="0.4">
      <c r="A69" s="178" t="s">
        <v>228</v>
      </c>
      <c r="B69" s="173">
        <f>expenditure!S31</f>
        <v>79.2</v>
      </c>
      <c r="C69" s="197">
        <f>B67-B69</f>
        <v>8906.3499999999985</v>
      </c>
      <c r="D69" s="7"/>
      <c r="E69" s="178"/>
      <c r="F69" s="179"/>
      <c r="G69" s="137"/>
      <c r="H69" s="138"/>
      <c r="I69" s="105"/>
      <c r="J69" s="105"/>
      <c r="K69" s="105"/>
      <c r="L69" s="105"/>
    </row>
    <row r="70" spans="1:12" ht="30" customHeight="1" x14ac:dyDescent="0.25">
      <c r="A70" s="192"/>
      <c r="C70" s="181"/>
      <c r="E70" s="176"/>
      <c r="F70" s="177"/>
      <c r="G70" s="106"/>
      <c r="H70" s="2"/>
    </row>
    <row r="71" spans="1:12" x14ac:dyDescent="0.25">
      <c r="E71" s="180"/>
      <c r="F71" s="3"/>
      <c r="G71" s="181"/>
    </row>
    <row r="72" spans="1:12" x14ac:dyDescent="0.25">
      <c r="F72" s="3"/>
    </row>
  </sheetData>
  <mergeCells count="13">
    <mergeCell ref="F55:G55"/>
    <mergeCell ref="H55:I55"/>
    <mergeCell ref="J55:K55"/>
    <mergeCell ref="L55:M55"/>
    <mergeCell ref="C55:E55"/>
    <mergeCell ref="A20:B20"/>
    <mergeCell ref="F2:K2"/>
    <mergeCell ref="A2:B2"/>
    <mergeCell ref="C2:D2"/>
    <mergeCell ref="F18:G18"/>
    <mergeCell ref="H18:I18"/>
    <mergeCell ref="J18:K18"/>
    <mergeCell ref="C18:E18"/>
  </mergeCell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opLeftCell="A13" workbookViewId="0">
      <selection activeCell="I29" sqref="I29"/>
    </sheetView>
  </sheetViews>
  <sheetFormatPr defaultRowHeight="15" x14ac:dyDescent="0.25"/>
  <cols>
    <col min="1" max="1" width="8.140625" bestFit="1" customWidth="1"/>
    <col min="2" max="2" width="8.140625" customWidth="1"/>
    <col min="3" max="3" width="9.42578125" bestFit="1" customWidth="1"/>
    <col min="4" max="4" width="19.140625" bestFit="1" customWidth="1"/>
    <col min="5" max="5" width="18.85546875" bestFit="1" customWidth="1"/>
    <col min="6" max="7" width="11.5703125" bestFit="1" customWidth="1"/>
    <col min="8" max="8" width="12.5703125" bestFit="1" customWidth="1"/>
    <col min="9" max="9" width="7" bestFit="1" customWidth="1"/>
    <col min="10" max="11" width="9" bestFit="1" customWidth="1"/>
    <col min="12" max="12" width="10.5703125" bestFit="1" customWidth="1"/>
    <col min="13" max="13" width="7.85546875" bestFit="1" customWidth="1"/>
    <col min="14" max="14" width="9" bestFit="1" customWidth="1"/>
    <col min="15" max="15" width="10.5703125" bestFit="1" customWidth="1"/>
    <col min="16" max="16" width="11.5703125" bestFit="1" customWidth="1"/>
    <col min="17" max="18" width="10.5703125" bestFit="1" customWidth="1"/>
  </cols>
  <sheetData>
    <row r="1" spans="1:20" x14ac:dyDescent="0.25">
      <c r="A1" s="58" t="s">
        <v>85</v>
      </c>
      <c r="B1" s="58"/>
    </row>
    <row r="2" spans="1:20" ht="63" x14ac:dyDescent="0.25">
      <c r="A2" s="69" t="s">
        <v>97</v>
      </c>
      <c r="B2" s="69" t="s">
        <v>176</v>
      </c>
      <c r="C2" s="69" t="s">
        <v>98</v>
      </c>
      <c r="D2" s="69" t="s">
        <v>99</v>
      </c>
      <c r="E2" s="69" t="s">
        <v>100</v>
      </c>
      <c r="F2" s="69" t="s">
        <v>101</v>
      </c>
      <c r="G2" s="69" t="s">
        <v>102</v>
      </c>
      <c r="H2" s="69" t="s">
        <v>103</v>
      </c>
      <c r="I2" s="69" t="s">
        <v>104</v>
      </c>
      <c r="J2" s="69" t="s">
        <v>69</v>
      </c>
      <c r="K2" s="69" t="s">
        <v>43</v>
      </c>
      <c r="L2" s="69" t="s">
        <v>105</v>
      </c>
      <c r="M2" s="69" t="s">
        <v>25</v>
      </c>
      <c r="N2" s="69" t="s">
        <v>19</v>
      </c>
      <c r="O2" s="69" t="s">
        <v>16</v>
      </c>
      <c r="P2" s="70" t="s">
        <v>75</v>
      </c>
      <c r="Q2" s="194" t="s">
        <v>167</v>
      </c>
    </row>
    <row r="3" spans="1:20" x14ac:dyDescent="0.25">
      <c r="A3" t="s">
        <v>148</v>
      </c>
      <c r="C3" t="s">
        <v>62</v>
      </c>
      <c r="D3" t="s">
        <v>106</v>
      </c>
      <c r="E3" t="s">
        <v>11</v>
      </c>
      <c r="F3" s="71">
        <f>391.71-183</f>
        <v>208.70999999999998</v>
      </c>
      <c r="G3" s="71"/>
      <c r="H3" s="71"/>
      <c r="I3" s="71"/>
      <c r="J3" s="71"/>
      <c r="K3" s="71"/>
      <c r="L3" s="71"/>
      <c r="M3" s="71"/>
      <c r="N3" s="71"/>
      <c r="O3" s="71"/>
      <c r="P3" s="71">
        <v>208.71</v>
      </c>
      <c r="Q3" s="195"/>
    </row>
    <row r="4" spans="1:20" x14ac:dyDescent="0.25">
      <c r="A4" t="s">
        <v>148</v>
      </c>
      <c r="C4" t="s">
        <v>62</v>
      </c>
      <c r="D4" t="s">
        <v>107</v>
      </c>
      <c r="E4" t="s">
        <v>11</v>
      </c>
      <c r="F4" s="71">
        <v>6039.8</v>
      </c>
      <c r="G4" s="71"/>
      <c r="H4" s="71"/>
      <c r="I4" s="71"/>
      <c r="J4" s="71"/>
      <c r="K4" s="71"/>
      <c r="L4" s="71"/>
      <c r="M4" s="71"/>
      <c r="N4" s="71"/>
      <c r="O4" s="71"/>
      <c r="P4" s="71">
        <f t="shared" ref="P4:P5" si="0">SUM(F4:O4)</f>
        <v>6039.8</v>
      </c>
      <c r="Q4" s="195"/>
    </row>
    <row r="5" spans="1:20" x14ac:dyDescent="0.25">
      <c r="A5" t="s">
        <v>149</v>
      </c>
      <c r="C5" t="s">
        <v>62</v>
      </c>
      <c r="D5" t="s">
        <v>108</v>
      </c>
      <c r="E5" t="s">
        <v>11</v>
      </c>
      <c r="F5" s="71">
        <v>1306.77</v>
      </c>
      <c r="G5" s="71"/>
      <c r="H5" s="71"/>
      <c r="I5" s="71"/>
      <c r="J5" s="71"/>
      <c r="K5" s="71"/>
      <c r="L5" s="71"/>
      <c r="M5" s="71"/>
      <c r="N5" s="71"/>
      <c r="O5" s="71"/>
      <c r="P5" s="71">
        <f t="shared" si="0"/>
        <v>1306.77</v>
      </c>
      <c r="Q5" s="196"/>
    </row>
    <row r="6" spans="1:20" x14ac:dyDescent="0.25">
      <c r="F6" s="188">
        <f>SUM(F3:F5)</f>
        <v>7555.2800000000007</v>
      </c>
      <c r="G6" s="188">
        <f t="shared" ref="G6:P6" si="1">SUM(G3:G5)</f>
        <v>0</v>
      </c>
      <c r="H6" s="188">
        <f t="shared" si="1"/>
        <v>0</v>
      </c>
      <c r="I6" s="188">
        <f t="shared" si="1"/>
        <v>0</v>
      </c>
      <c r="J6" s="188">
        <f t="shared" si="1"/>
        <v>0</v>
      </c>
      <c r="K6" s="188">
        <f t="shared" si="1"/>
        <v>0</v>
      </c>
      <c r="L6" s="188">
        <f t="shared" si="1"/>
        <v>0</v>
      </c>
      <c r="M6" s="188">
        <f t="shared" si="1"/>
        <v>0</v>
      </c>
      <c r="N6" s="188">
        <f t="shared" si="1"/>
        <v>0</v>
      </c>
      <c r="O6" s="188">
        <f t="shared" si="1"/>
        <v>0</v>
      </c>
      <c r="P6" s="188">
        <f t="shared" si="1"/>
        <v>7555.2800000000007</v>
      </c>
      <c r="Q6" s="196"/>
    </row>
    <row r="7" spans="1:20" x14ac:dyDescent="0.25">
      <c r="A7" s="187" t="s">
        <v>164</v>
      </c>
      <c r="B7" s="187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196"/>
    </row>
    <row r="8" spans="1:20" x14ac:dyDescent="0.25">
      <c r="A8" t="s">
        <v>147</v>
      </c>
      <c r="B8" t="s">
        <v>177</v>
      </c>
      <c r="C8" s="3">
        <v>875.7</v>
      </c>
      <c r="D8" t="s">
        <v>146</v>
      </c>
      <c r="E8" t="s">
        <v>102</v>
      </c>
      <c r="F8" s="71"/>
      <c r="G8" s="71">
        <v>4871.3500000000004</v>
      </c>
      <c r="H8" s="71"/>
      <c r="I8" s="71"/>
      <c r="J8" s="71"/>
      <c r="K8" s="71"/>
      <c r="L8" s="71"/>
      <c r="M8" s="71"/>
      <c r="N8" s="71"/>
      <c r="O8" s="71"/>
      <c r="P8" s="71">
        <f>SUM(F8:O8)</f>
        <v>4871.3500000000004</v>
      </c>
      <c r="Q8" s="195" t="s">
        <v>205</v>
      </c>
    </row>
    <row r="9" spans="1:20" x14ac:dyDescent="0.25">
      <c r="A9" t="s">
        <v>147</v>
      </c>
      <c r="B9" t="s">
        <v>177</v>
      </c>
      <c r="C9" s="3">
        <v>875.7</v>
      </c>
      <c r="D9" t="s">
        <v>146</v>
      </c>
      <c r="E9" t="s">
        <v>150</v>
      </c>
      <c r="F9" s="71"/>
      <c r="G9" s="71"/>
      <c r="H9" s="71"/>
      <c r="I9" s="71"/>
      <c r="J9" s="71"/>
      <c r="K9" s="71"/>
      <c r="L9" s="71"/>
      <c r="M9" s="71"/>
      <c r="N9" s="71"/>
      <c r="O9" s="71">
        <v>448.65</v>
      </c>
      <c r="P9" s="71">
        <f t="shared" ref="P9" si="2">SUM(F9:O9)</f>
        <v>448.65</v>
      </c>
      <c r="Q9" s="195" t="s">
        <v>205</v>
      </c>
    </row>
    <row r="10" spans="1:20" x14ac:dyDescent="0.25">
      <c r="C10" s="3"/>
      <c r="F10" s="188">
        <f>SUM(F8:F9)</f>
        <v>0</v>
      </c>
      <c r="G10" s="188">
        <f t="shared" ref="G10:P10" si="3">SUM(G8:G9)</f>
        <v>4871.3500000000004</v>
      </c>
      <c r="H10" s="188">
        <f t="shared" si="3"/>
        <v>0</v>
      </c>
      <c r="I10" s="188">
        <f t="shared" si="3"/>
        <v>0</v>
      </c>
      <c r="J10" s="188">
        <f t="shared" si="3"/>
        <v>0</v>
      </c>
      <c r="K10" s="188">
        <f t="shared" si="3"/>
        <v>0</v>
      </c>
      <c r="L10" s="188">
        <f t="shared" si="3"/>
        <v>0</v>
      </c>
      <c r="M10" s="188">
        <f t="shared" si="3"/>
        <v>0</v>
      </c>
      <c r="N10" s="188">
        <f t="shared" si="3"/>
        <v>0</v>
      </c>
      <c r="O10" s="188">
        <f t="shared" si="3"/>
        <v>448.65</v>
      </c>
      <c r="P10" s="188">
        <f t="shared" si="3"/>
        <v>5320</v>
      </c>
      <c r="Q10" s="195"/>
    </row>
    <row r="11" spans="1:20" x14ac:dyDescent="0.25">
      <c r="C11" s="3"/>
      <c r="F11" s="189">
        <f>F6+F10</f>
        <v>7555.2800000000007</v>
      </c>
      <c r="G11" s="189">
        <f t="shared" ref="G11:P11" si="4">G6+G10</f>
        <v>4871.3500000000004</v>
      </c>
      <c r="H11" s="189">
        <f t="shared" si="4"/>
        <v>0</v>
      </c>
      <c r="I11" s="189">
        <f t="shared" si="4"/>
        <v>0</v>
      </c>
      <c r="J11" s="189">
        <f t="shared" si="4"/>
        <v>0</v>
      </c>
      <c r="K11" s="189">
        <f t="shared" si="4"/>
        <v>0</v>
      </c>
      <c r="L11" s="189">
        <f t="shared" si="4"/>
        <v>0</v>
      </c>
      <c r="M11" s="189">
        <f t="shared" si="4"/>
        <v>0</v>
      </c>
      <c r="N11" s="189">
        <f t="shared" si="4"/>
        <v>0</v>
      </c>
      <c r="O11" s="189">
        <f t="shared" si="4"/>
        <v>448.65</v>
      </c>
      <c r="P11" s="189">
        <f t="shared" si="4"/>
        <v>12875.28</v>
      </c>
      <c r="Q11" s="195"/>
      <c r="T11" s="1"/>
    </row>
    <row r="12" spans="1:20" x14ac:dyDescent="0.25">
      <c r="A12" s="187" t="s">
        <v>165</v>
      </c>
      <c r="B12" s="187"/>
      <c r="C12" s="3"/>
      <c r="F12" s="71"/>
      <c r="G12" s="71"/>
      <c r="H12" s="71"/>
      <c r="I12" s="71"/>
      <c r="J12" s="71"/>
      <c r="K12" s="72"/>
      <c r="L12" s="71"/>
      <c r="M12" s="71"/>
      <c r="N12" s="71"/>
      <c r="O12" s="71"/>
      <c r="P12" s="71"/>
      <c r="Q12" s="195"/>
    </row>
    <row r="13" spans="1:20" x14ac:dyDescent="0.25">
      <c r="A13" t="s">
        <v>208</v>
      </c>
      <c r="B13" t="s">
        <v>62</v>
      </c>
      <c r="C13" s="3">
        <v>887.3</v>
      </c>
      <c r="D13" t="s">
        <v>166</v>
      </c>
      <c r="E13" t="s">
        <v>70</v>
      </c>
      <c r="F13" s="71"/>
      <c r="G13" s="71"/>
      <c r="H13" s="71"/>
      <c r="I13" s="71">
        <v>1.01</v>
      </c>
      <c r="J13" s="71"/>
      <c r="K13" s="72"/>
      <c r="L13" s="71"/>
      <c r="M13" s="71"/>
      <c r="N13" s="71"/>
      <c r="O13" s="71"/>
      <c r="P13" s="71">
        <f>SUM(F13:O13)</f>
        <v>1.01</v>
      </c>
      <c r="Q13" s="195" t="s">
        <v>205</v>
      </c>
    </row>
    <row r="14" spans="1:20" x14ac:dyDescent="0.25">
      <c r="A14" t="s">
        <v>207</v>
      </c>
      <c r="B14" s="3" t="s">
        <v>178</v>
      </c>
      <c r="C14" s="3">
        <v>887.3</v>
      </c>
      <c r="D14" t="s">
        <v>59</v>
      </c>
      <c r="E14" t="s">
        <v>169</v>
      </c>
      <c r="F14" s="71"/>
      <c r="G14" s="71"/>
      <c r="H14" s="71"/>
      <c r="I14" s="71"/>
      <c r="J14" s="71"/>
      <c r="K14" s="72"/>
      <c r="L14" s="71"/>
      <c r="M14" s="71"/>
      <c r="N14" s="71"/>
      <c r="O14" s="71">
        <v>449</v>
      </c>
      <c r="P14" s="71">
        <f t="shared" ref="P14:P15" si="5">SUM(F14:O14)</f>
        <v>449</v>
      </c>
      <c r="Q14" s="195" t="s">
        <v>205</v>
      </c>
    </row>
    <row r="15" spans="1:20" x14ac:dyDescent="0.25">
      <c r="A15" s="3" t="s">
        <v>206</v>
      </c>
      <c r="B15" t="s">
        <v>179</v>
      </c>
      <c r="C15" s="3">
        <v>887.3</v>
      </c>
      <c r="D15" t="s">
        <v>170</v>
      </c>
      <c r="E15" t="s">
        <v>171</v>
      </c>
      <c r="F15" s="71"/>
      <c r="G15" s="71"/>
      <c r="H15" s="71"/>
      <c r="I15" s="71"/>
      <c r="J15" s="71"/>
      <c r="K15" s="72"/>
      <c r="L15" s="71"/>
      <c r="M15" s="71"/>
      <c r="N15" s="71"/>
      <c r="O15" s="71">
        <v>453.5</v>
      </c>
      <c r="P15" s="71">
        <f t="shared" si="5"/>
        <v>453.5</v>
      </c>
      <c r="Q15" s="195" t="s">
        <v>205</v>
      </c>
    </row>
    <row r="16" spans="1:20" x14ac:dyDescent="0.25">
      <c r="A16" t="s">
        <v>234</v>
      </c>
      <c r="B16" t="s">
        <v>209</v>
      </c>
      <c r="C16" s="3">
        <v>887.3</v>
      </c>
      <c r="D16" t="s">
        <v>200</v>
      </c>
      <c r="E16" t="s">
        <v>69</v>
      </c>
      <c r="F16" s="71"/>
      <c r="G16" s="71"/>
      <c r="H16" s="71"/>
      <c r="I16" s="71"/>
      <c r="J16" s="71">
        <v>102.21</v>
      </c>
      <c r="K16" s="72"/>
      <c r="L16" s="71"/>
      <c r="M16" s="71"/>
      <c r="N16" s="71"/>
      <c r="O16" s="71"/>
      <c r="P16" s="71">
        <f>SUM(F16:O16)</f>
        <v>102.21</v>
      </c>
      <c r="Q16" s="195" t="s">
        <v>205</v>
      </c>
    </row>
    <row r="17" spans="1:18" x14ac:dyDescent="0.25">
      <c r="A17" t="s">
        <v>234</v>
      </c>
      <c r="B17" t="s">
        <v>210</v>
      </c>
      <c r="C17" s="3">
        <v>887.3</v>
      </c>
      <c r="D17" t="s">
        <v>200</v>
      </c>
      <c r="E17" t="s">
        <v>69</v>
      </c>
      <c r="F17" s="71"/>
      <c r="G17" s="71"/>
      <c r="H17" s="71"/>
      <c r="I17" s="71"/>
      <c r="J17" s="71">
        <v>2</v>
      </c>
      <c r="K17" s="72"/>
      <c r="L17" s="71"/>
      <c r="M17" s="71"/>
      <c r="N17" s="71"/>
      <c r="O17" s="71"/>
      <c r="P17" s="71">
        <f>SUM(F17:O17)</f>
        <v>2</v>
      </c>
      <c r="Q17" s="195" t="s">
        <v>205</v>
      </c>
    </row>
    <row r="18" spans="1:18" x14ac:dyDescent="0.25">
      <c r="C18" s="3"/>
      <c r="F18" s="188">
        <f>SUM(F13:F17)</f>
        <v>0</v>
      </c>
      <c r="G18" s="188">
        <f t="shared" ref="G18:P18" si="6">SUM(G13:G17)</f>
        <v>0</v>
      </c>
      <c r="H18" s="188">
        <f t="shared" si="6"/>
        <v>0</v>
      </c>
      <c r="I18" s="188">
        <f t="shared" si="6"/>
        <v>1.01</v>
      </c>
      <c r="J18" s="188">
        <f t="shared" si="6"/>
        <v>104.21</v>
      </c>
      <c r="K18" s="188">
        <f t="shared" si="6"/>
        <v>0</v>
      </c>
      <c r="L18" s="188">
        <f t="shared" si="6"/>
        <v>0</v>
      </c>
      <c r="M18" s="188">
        <f t="shared" si="6"/>
        <v>0</v>
      </c>
      <c r="N18" s="188">
        <f t="shared" si="6"/>
        <v>0</v>
      </c>
      <c r="O18" s="188">
        <f t="shared" si="6"/>
        <v>902.5</v>
      </c>
      <c r="P18" s="188">
        <f t="shared" si="6"/>
        <v>1007.72</v>
      </c>
      <c r="Q18" s="195"/>
    </row>
    <row r="19" spans="1:18" x14ac:dyDescent="0.25">
      <c r="C19" s="3"/>
      <c r="F19" s="189">
        <f>F11+F18</f>
        <v>7555.2800000000007</v>
      </c>
      <c r="G19" s="189">
        <f t="shared" ref="G19:P19" si="7">G11+G18</f>
        <v>4871.3500000000004</v>
      </c>
      <c r="H19" s="189">
        <f t="shared" si="7"/>
        <v>0</v>
      </c>
      <c r="I19" s="189">
        <f t="shared" si="7"/>
        <v>1.01</v>
      </c>
      <c r="J19" s="189">
        <f t="shared" si="7"/>
        <v>104.21</v>
      </c>
      <c r="K19" s="189">
        <f t="shared" si="7"/>
        <v>0</v>
      </c>
      <c r="L19" s="189">
        <f t="shared" si="7"/>
        <v>0</v>
      </c>
      <c r="M19" s="189">
        <f t="shared" si="7"/>
        <v>0</v>
      </c>
      <c r="N19" s="189">
        <f t="shared" si="7"/>
        <v>0</v>
      </c>
      <c r="O19" s="189">
        <f t="shared" si="7"/>
        <v>1351.15</v>
      </c>
      <c r="P19" s="189">
        <f t="shared" si="7"/>
        <v>13883</v>
      </c>
      <c r="Q19" s="196"/>
    </row>
    <row r="20" spans="1:18" x14ac:dyDescent="0.25">
      <c r="C20" s="3"/>
      <c r="F20" s="71"/>
      <c r="G20" s="71"/>
      <c r="H20" s="71"/>
      <c r="I20" s="71"/>
      <c r="J20" s="71"/>
      <c r="K20" s="72"/>
      <c r="L20" s="71"/>
      <c r="M20" s="71"/>
      <c r="N20" s="71"/>
      <c r="O20" s="71"/>
      <c r="P20" s="71"/>
      <c r="Q20" s="195"/>
    </row>
    <row r="21" spans="1:18" x14ac:dyDescent="0.25">
      <c r="A21" s="187" t="s">
        <v>199</v>
      </c>
      <c r="B21" s="187"/>
      <c r="C21" s="3"/>
      <c r="F21" s="71"/>
      <c r="G21" s="71"/>
      <c r="H21" s="71"/>
      <c r="I21" s="71"/>
      <c r="J21" s="71"/>
      <c r="K21" s="72"/>
      <c r="L21" s="71"/>
      <c r="M21" s="71"/>
      <c r="N21" s="71"/>
      <c r="O21" s="71"/>
      <c r="P21" s="71"/>
      <c r="Q21" s="195"/>
    </row>
    <row r="22" spans="1:18" x14ac:dyDescent="0.25">
      <c r="A22" s="3" t="s">
        <v>236</v>
      </c>
      <c r="B22" s="3" t="s">
        <v>211</v>
      </c>
      <c r="C22" s="3">
        <v>898.3</v>
      </c>
      <c r="D22" t="s">
        <v>201</v>
      </c>
      <c r="E22" t="s">
        <v>202</v>
      </c>
      <c r="F22" s="71"/>
      <c r="G22" s="71"/>
      <c r="H22" s="71"/>
      <c r="I22" s="71"/>
      <c r="J22" s="71"/>
      <c r="K22" s="72"/>
      <c r="L22" s="71"/>
      <c r="M22" s="71"/>
      <c r="N22" s="71"/>
      <c r="O22" s="71">
        <v>76</v>
      </c>
      <c r="P22" s="71">
        <f>SUM(F22:O22)</f>
        <v>76</v>
      </c>
      <c r="Q22" s="195" t="s">
        <v>229</v>
      </c>
    </row>
    <row r="23" spans="1:18" x14ac:dyDescent="0.25">
      <c r="A23" s="3" t="s">
        <v>235</v>
      </c>
      <c r="B23" s="3" t="s">
        <v>212</v>
      </c>
      <c r="C23" s="3">
        <v>898.3</v>
      </c>
      <c r="D23" t="s">
        <v>203</v>
      </c>
      <c r="E23" t="s">
        <v>30</v>
      </c>
      <c r="F23" s="71"/>
      <c r="G23" s="71"/>
      <c r="H23" s="71"/>
      <c r="I23" s="71"/>
      <c r="J23" s="71"/>
      <c r="K23" s="72"/>
      <c r="L23" s="71"/>
      <c r="M23" s="71"/>
      <c r="N23" s="71"/>
      <c r="O23" s="71">
        <v>15</v>
      </c>
      <c r="P23" s="71">
        <f>SUM(F23:O23)</f>
        <v>15</v>
      </c>
      <c r="Q23" s="195" t="s">
        <v>229</v>
      </c>
    </row>
    <row r="24" spans="1:18" x14ac:dyDescent="0.25">
      <c r="C24" s="3"/>
      <c r="F24" s="188">
        <f>SUM(F22:F23)</f>
        <v>0</v>
      </c>
      <c r="G24" s="188">
        <f t="shared" ref="G24:P24" si="8">SUM(G22:G23)</f>
        <v>0</v>
      </c>
      <c r="H24" s="188">
        <f t="shared" si="8"/>
        <v>0</v>
      </c>
      <c r="I24" s="188">
        <f t="shared" si="8"/>
        <v>0</v>
      </c>
      <c r="J24" s="188">
        <f t="shared" si="8"/>
        <v>0</v>
      </c>
      <c r="K24" s="188">
        <f t="shared" si="8"/>
        <v>0</v>
      </c>
      <c r="L24" s="188">
        <f t="shared" si="8"/>
        <v>0</v>
      </c>
      <c r="M24" s="188">
        <f t="shared" si="8"/>
        <v>0</v>
      </c>
      <c r="N24" s="188">
        <f t="shared" si="8"/>
        <v>0</v>
      </c>
      <c r="O24" s="188">
        <f t="shared" si="8"/>
        <v>91</v>
      </c>
      <c r="P24" s="188">
        <f t="shared" si="8"/>
        <v>91</v>
      </c>
      <c r="Q24" s="195"/>
    </row>
    <row r="25" spans="1:18" x14ac:dyDescent="0.25">
      <c r="C25" s="3"/>
      <c r="F25" s="189">
        <f>F19+F24</f>
        <v>7555.2800000000007</v>
      </c>
      <c r="G25" s="189">
        <f t="shared" ref="G25:P25" si="9">G19+G24</f>
        <v>4871.3500000000004</v>
      </c>
      <c r="H25" s="189">
        <f t="shared" si="9"/>
        <v>0</v>
      </c>
      <c r="I25" s="189">
        <f t="shared" si="9"/>
        <v>1.01</v>
      </c>
      <c r="J25" s="189">
        <f t="shared" si="9"/>
        <v>104.21</v>
      </c>
      <c r="K25" s="189">
        <f t="shared" si="9"/>
        <v>0</v>
      </c>
      <c r="L25" s="189">
        <f t="shared" si="9"/>
        <v>0</v>
      </c>
      <c r="M25" s="189">
        <f t="shared" si="9"/>
        <v>0</v>
      </c>
      <c r="N25" s="189">
        <f t="shared" si="9"/>
        <v>0</v>
      </c>
      <c r="O25" s="189">
        <f t="shared" si="9"/>
        <v>1442.15</v>
      </c>
      <c r="P25" s="189">
        <f t="shared" si="9"/>
        <v>13974</v>
      </c>
      <c r="Q25" s="195"/>
    </row>
    <row r="26" spans="1:18" x14ac:dyDescent="0.25">
      <c r="C26" s="3"/>
      <c r="F26" s="71"/>
      <c r="G26" s="71"/>
      <c r="H26" s="71"/>
      <c r="I26" s="71"/>
      <c r="J26" s="71"/>
      <c r="K26" s="72"/>
      <c r="L26" s="71"/>
      <c r="M26" s="71"/>
      <c r="N26" s="71"/>
      <c r="O26" s="71"/>
      <c r="P26" s="71"/>
      <c r="Q26" s="195"/>
    </row>
    <row r="27" spans="1:18" x14ac:dyDescent="0.25">
      <c r="C27" s="3"/>
      <c r="F27" s="71"/>
      <c r="G27" s="71"/>
      <c r="H27" s="71"/>
      <c r="I27" s="71"/>
      <c r="J27" s="71"/>
      <c r="K27" s="72"/>
      <c r="L27" s="71"/>
      <c r="M27" s="71"/>
      <c r="N27" s="71"/>
      <c r="O27" s="71"/>
      <c r="P27" s="71"/>
      <c r="Q27" s="195"/>
      <c r="R27" s="1"/>
    </row>
    <row r="28" spans="1:18" x14ac:dyDescent="0.25">
      <c r="A28" s="187" t="s">
        <v>237</v>
      </c>
      <c r="C28" s="3"/>
      <c r="F28" s="71"/>
      <c r="G28" s="71"/>
      <c r="H28" s="71"/>
      <c r="I28" s="71"/>
      <c r="J28" s="71"/>
      <c r="K28" s="72"/>
      <c r="L28" s="71"/>
      <c r="M28" s="71"/>
      <c r="N28" s="71"/>
      <c r="O28" s="71"/>
      <c r="P28" s="71"/>
      <c r="Q28" s="195"/>
    </row>
    <row r="29" spans="1:18" x14ac:dyDescent="0.25">
      <c r="A29" s="211" t="s">
        <v>238</v>
      </c>
      <c r="B29" t="s">
        <v>62</v>
      </c>
      <c r="C29" s="85"/>
      <c r="D29" t="s">
        <v>166</v>
      </c>
      <c r="E29" t="s">
        <v>70</v>
      </c>
      <c r="F29" s="71"/>
      <c r="G29" s="71"/>
      <c r="H29" s="71"/>
      <c r="I29" s="71">
        <v>1.05</v>
      </c>
      <c r="J29" s="71"/>
      <c r="K29" s="72"/>
      <c r="L29" s="71"/>
      <c r="M29" s="71"/>
      <c r="N29" s="71"/>
      <c r="O29" s="71"/>
      <c r="P29" s="71">
        <f>SUM(F29:O29)</f>
        <v>1.05</v>
      </c>
      <c r="Q29" s="195" t="s">
        <v>229</v>
      </c>
    </row>
    <row r="30" spans="1:18" x14ac:dyDescent="0.25">
      <c r="A30" s="58"/>
      <c r="B30" s="58"/>
      <c r="C30" s="58"/>
      <c r="D30" s="58"/>
      <c r="E30" s="58"/>
      <c r="F30" s="188">
        <f>SUM(F29)</f>
        <v>0</v>
      </c>
      <c r="G30" s="188">
        <f t="shared" ref="G30:P30" si="10">SUM(G29)</f>
        <v>0</v>
      </c>
      <c r="H30" s="188">
        <f t="shared" si="10"/>
        <v>0</v>
      </c>
      <c r="I30" s="188">
        <f t="shared" si="10"/>
        <v>1.05</v>
      </c>
      <c r="J30" s="188">
        <f t="shared" si="10"/>
        <v>0</v>
      </c>
      <c r="K30" s="188">
        <f t="shared" si="10"/>
        <v>0</v>
      </c>
      <c r="L30" s="188">
        <f t="shared" si="10"/>
        <v>0</v>
      </c>
      <c r="M30" s="188">
        <f t="shared" si="10"/>
        <v>0</v>
      </c>
      <c r="N30" s="188">
        <f t="shared" si="10"/>
        <v>0</v>
      </c>
      <c r="O30" s="188">
        <f t="shared" si="10"/>
        <v>0</v>
      </c>
      <c r="P30" s="188">
        <f t="shared" si="10"/>
        <v>1.05</v>
      </c>
      <c r="Q30" s="196"/>
    </row>
    <row r="31" spans="1:18" x14ac:dyDescent="0.25">
      <c r="F31" s="189">
        <f>F25+F30</f>
        <v>7555.2800000000007</v>
      </c>
      <c r="G31" s="189">
        <f t="shared" ref="G31:P31" si="11">G25+G30</f>
        <v>4871.3500000000004</v>
      </c>
      <c r="H31" s="189">
        <f t="shared" si="11"/>
        <v>0</v>
      </c>
      <c r="I31" s="189">
        <f t="shared" si="11"/>
        <v>2.06</v>
      </c>
      <c r="J31" s="189">
        <f t="shared" si="11"/>
        <v>104.21</v>
      </c>
      <c r="K31" s="189">
        <f t="shared" si="11"/>
        <v>0</v>
      </c>
      <c r="L31" s="189">
        <f t="shared" si="11"/>
        <v>0</v>
      </c>
      <c r="M31" s="189">
        <f t="shared" si="11"/>
        <v>0</v>
      </c>
      <c r="N31" s="189">
        <f t="shared" si="11"/>
        <v>0</v>
      </c>
      <c r="O31" s="189">
        <f t="shared" si="11"/>
        <v>1442.15</v>
      </c>
      <c r="P31" s="189">
        <f t="shared" si="11"/>
        <v>13975.05</v>
      </c>
    </row>
    <row r="32" spans="1:18" x14ac:dyDescent="0.25">
      <c r="F32" s="71"/>
      <c r="G32" s="71"/>
      <c r="H32" s="71"/>
      <c r="I32" s="71"/>
      <c r="J32" s="71"/>
      <c r="K32" s="73"/>
      <c r="L32" s="71"/>
      <c r="M32" s="71"/>
      <c r="N32" s="71"/>
      <c r="O32" s="71"/>
      <c r="P32" s="71"/>
    </row>
    <row r="33" spans="6:16" x14ac:dyDescent="0.25"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</row>
    <row r="34" spans="6:16" x14ac:dyDescent="0.25"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</row>
    <row r="35" spans="6:16" x14ac:dyDescent="0.25"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6:16" x14ac:dyDescent="0.25"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</row>
    <row r="37" spans="6:16" x14ac:dyDescent="0.25"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</row>
    <row r="38" spans="6:16" x14ac:dyDescent="0.25"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</row>
  </sheetData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topLeftCell="D13" workbookViewId="0">
      <selection activeCell="R26" sqref="I26:R26"/>
    </sheetView>
  </sheetViews>
  <sheetFormatPr defaultRowHeight="15" x14ac:dyDescent="0.25"/>
  <cols>
    <col min="1" max="1" width="8.140625" bestFit="1" customWidth="1"/>
    <col min="2" max="2" width="8.140625" customWidth="1"/>
    <col min="3" max="3" width="8.42578125" bestFit="1" customWidth="1"/>
    <col min="4" max="4" width="7" bestFit="1" customWidth="1"/>
    <col min="5" max="5" width="24.42578125" bestFit="1" customWidth="1"/>
    <col min="6" max="6" width="20.28515625" bestFit="1" customWidth="1"/>
    <col min="7" max="7" width="9" bestFit="1" customWidth="1"/>
    <col min="8" max="8" width="10.5703125" bestFit="1" customWidth="1"/>
    <col min="9" max="9" width="9" bestFit="1" customWidth="1"/>
    <col min="10" max="10" width="10.5703125" bestFit="1" customWidth="1"/>
    <col min="11" max="11" width="9" bestFit="1" customWidth="1"/>
    <col min="12" max="12" width="6.42578125" bestFit="1" customWidth="1"/>
    <col min="13" max="13" width="10.42578125" bestFit="1" customWidth="1"/>
    <col min="14" max="18" width="9" bestFit="1" customWidth="1"/>
    <col min="19" max="21" width="10.5703125" bestFit="1" customWidth="1"/>
  </cols>
  <sheetData>
    <row r="1" spans="1:21" x14ac:dyDescent="0.25">
      <c r="A1" s="238" t="s">
        <v>109</v>
      </c>
      <c r="B1" s="238"/>
      <c r="C1" s="239"/>
      <c r="D1" s="239"/>
      <c r="E1" s="74"/>
      <c r="F1" s="74"/>
      <c r="S1" s="75"/>
    </row>
    <row r="2" spans="1:21" ht="47.25" customHeight="1" x14ac:dyDescent="0.25">
      <c r="A2" s="76" t="s">
        <v>97</v>
      </c>
      <c r="B2" s="76" t="s">
        <v>176</v>
      </c>
      <c r="C2" s="76" t="s">
        <v>98</v>
      </c>
      <c r="D2" s="76" t="s">
        <v>110</v>
      </c>
      <c r="E2" s="76" t="s">
        <v>111</v>
      </c>
      <c r="F2" s="76" t="s">
        <v>112</v>
      </c>
      <c r="G2" s="76" t="s">
        <v>52</v>
      </c>
      <c r="H2" s="76" t="s">
        <v>33</v>
      </c>
      <c r="I2" s="76" t="s">
        <v>25</v>
      </c>
      <c r="J2" s="76" t="s">
        <v>113</v>
      </c>
      <c r="K2" s="76" t="s">
        <v>43</v>
      </c>
      <c r="L2" s="76" t="s">
        <v>105</v>
      </c>
      <c r="M2" s="76" t="s">
        <v>114</v>
      </c>
      <c r="N2" s="76" t="s">
        <v>117</v>
      </c>
      <c r="O2" s="76" t="s">
        <v>115</v>
      </c>
      <c r="P2" s="76" t="s">
        <v>16</v>
      </c>
      <c r="Q2" s="76" t="s">
        <v>116</v>
      </c>
      <c r="R2" s="76" t="s">
        <v>19</v>
      </c>
      <c r="S2" s="77" t="s">
        <v>75</v>
      </c>
      <c r="T2" s="76" t="s">
        <v>167</v>
      </c>
    </row>
    <row r="3" spans="1:21" ht="18.75" customHeight="1" x14ac:dyDescent="0.25">
      <c r="A3" s="183" t="s">
        <v>81</v>
      </c>
      <c r="B3" s="183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7"/>
    </row>
    <row r="4" spans="1:21" x14ac:dyDescent="0.25">
      <c r="A4" s="3" t="s">
        <v>151</v>
      </c>
      <c r="B4" s="3" t="s">
        <v>180</v>
      </c>
      <c r="C4" s="3">
        <v>875.6</v>
      </c>
      <c r="D4" s="3" t="s">
        <v>152</v>
      </c>
      <c r="E4" s="3" t="s">
        <v>59</v>
      </c>
      <c r="F4" s="3" t="s">
        <v>153</v>
      </c>
      <c r="G4" s="67"/>
      <c r="H4" s="67">
        <v>130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>
        <f>SUM(G4:R4)</f>
        <v>130</v>
      </c>
      <c r="T4" s="207" t="s">
        <v>168</v>
      </c>
    </row>
    <row r="5" spans="1:21" x14ac:dyDescent="0.25">
      <c r="A5" s="202" t="s">
        <v>151</v>
      </c>
      <c r="B5" s="202" t="s">
        <v>181</v>
      </c>
      <c r="C5" s="202">
        <v>875.6</v>
      </c>
      <c r="D5" s="202" t="s">
        <v>152</v>
      </c>
      <c r="E5" s="202" t="s">
        <v>154</v>
      </c>
      <c r="F5" s="202" t="s">
        <v>155</v>
      </c>
      <c r="G5" s="203"/>
      <c r="H5" s="203"/>
      <c r="I5" s="203"/>
      <c r="J5" s="203"/>
      <c r="K5" s="203">
        <v>55</v>
      </c>
      <c r="L5" s="203"/>
      <c r="M5" s="203"/>
      <c r="N5" s="203"/>
      <c r="O5" s="203"/>
      <c r="P5" s="203"/>
      <c r="Q5" s="203"/>
      <c r="R5" s="203">
        <v>11</v>
      </c>
      <c r="S5" s="203">
        <f t="shared" ref="S5:S10" si="0">SUM(G5:R5)</f>
        <v>66</v>
      </c>
      <c r="T5" s="208" t="s">
        <v>205</v>
      </c>
    </row>
    <row r="6" spans="1:21" x14ac:dyDescent="0.25">
      <c r="A6" s="3" t="s">
        <v>156</v>
      </c>
      <c r="B6" s="3" t="s">
        <v>182</v>
      </c>
      <c r="C6" s="3">
        <v>875.4</v>
      </c>
      <c r="D6" s="3">
        <v>100656</v>
      </c>
      <c r="E6" s="3" t="s">
        <v>157</v>
      </c>
      <c r="F6" s="3" t="s">
        <v>46</v>
      </c>
      <c r="G6" s="67"/>
      <c r="H6" s="67">
        <v>946.98</v>
      </c>
      <c r="I6" s="67"/>
      <c r="J6" s="67"/>
      <c r="K6" s="67"/>
      <c r="L6" s="67"/>
      <c r="M6" s="67"/>
      <c r="N6" s="67"/>
      <c r="O6" s="67"/>
      <c r="P6" s="67"/>
      <c r="Q6" s="67"/>
      <c r="R6" s="67"/>
      <c r="S6" s="67">
        <f t="shared" si="0"/>
        <v>946.98</v>
      </c>
      <c r="T6" s="205" t="s">
        <v>168</v>
      </c>
    </row>
    <row r="7" spans="1:21" x14ac:dyDescent="0.25">
      <c r="A7" s="3" t="s">
        <v>151</v>
      </c>
      <c r="B7" s="3" t="s">
        <v>183</v>
      </c>
      <c r="C7" s="3">
        <v>875.6</v>
      </c>
      <c r="D7" s="3" t="s">
        <v>152</v>
      </c>
      <c r="E7" s="3" t="s">
        <v>158</v>
      </c>
      <c r="F7" s="3" t="s">
        <v>25</v>
      </c>
      <c r="G7" s="67"/>
      <c r="H7" s="67"/>
      <c r="I7" s="67">
        <v>115.42</v>
      </c>
      <c r="J7" s="67"/>
      <c r="K7" s="67"/>
      <c r="L7" s="67"/>
      <c r="M7" s="67"/>
      <c r="N7" s="67"/>
      <c r="O7" s="67"/>
      <c r="P7" s="67"/>
      <c r="Q7" s="67"/>
      <c r="R7" s="67"/>
      <c r="S7" s="67">
        <f t="shared" si="0"/>
        <v>115.42</v>
      </c>
      <c r="T7" s="205" t="s">
        <v>168</v>
      </c>
      <c r="U7" s="1"/>
    </row>
    <row r="8" spans="1:21" x14ac:dyDescent="0.25">
      <c r="A8" s="3" t="s">
        <v>151</v>
      </c>
      <c r="B8" s="3" t="s">
        <v>184</v>
      </c>
      <c r="C8" s="3">
        <v>875.6</v>
      </c>
      <c r="D8" s="3" t="s">
        <v>152</v>
      </c>
      <c r="E8" s="3" t="s">
        <v>159</v>
      </c>
      <c r="F8" s="3" t="s">
        <v>41</v>
      </c>
      <c r="G8" s="67"/>
      <c r="H8" s="67"/>
      <c r="I8" s="67"/>
      <c r="J8" s="67">
        <v>153</v>
      </c>
      <c r="K8" s="67"/>
      <c r="L8" s="67"/>
      <c r="M8" s="67"/>
      <c r="N8" s="67"/>
      <c r="O8" s="67"/>
      <c r="P8" s="67"/>
      <c r="Q8" s="67"/>
      <c r="R8" s="67">
        <v>30.6</v>
      </c>
      <c r="S8" s="67">
        <f t="shared" si="0"/>
        <v>183.6</v>
      </c>
      <c r="T8" s="205" t="s">
        <v>168</v>
      </c>
    </row>
    <row r="9" spans="1:21" x14ac:dyDescent="0.25">
      <c r="A9" s="3" t="s">
        <v>151</v>
      </c>
      <c r="B9" s="3" t="s">
        <v>185</v>
      </c>
      <c r="C9" s="3">
        <v>875.6</v>
      </c>
      <c r="D9" s="3" t="s">
        <v>152</v>
      </c>
      <c r="E9" s="3" t="s">
        <v>160</v>
      </c>
      <c r="F9" s="3" t="s">
        <v>161</v>
      </c>
      <c r="G9" s="67"/>
      <c r="H9" s="67"/>
      <c r="I9" s="67"/>
      <c r="J9" s="67">
        <v>220</v>
      </c>
      <c r="K9" s="67"/>
      <c r="L9" s="67"/>
      <c r="M9" s="67"/>
      <c r="N9" s="67"/>
      <c r="O9" s="67"/>
      <c r="P9" s="67"/>
      <c r="Q9" s="67"/>
      <c r="R9" s="67">
        <v>44</v>
      </c>
      <c r="S9" s="67">
        <f t="shared" si="0"/>
        <v>264</v>
      </c>
      <c r="T9" s="205" t="s">
        <v>168</v>
      </c>
    </row>
    <row r="10" spans="1:21" x14ac:dyDescent="0.25">
      <c r="A10" s="3" t="s">
        <v>151</v>
      </c>
      <c r="B10" s="3" t="s">
        <v>186</v>
      </c>
      <c r="C10" s="3">
        <v>875.5</v>
      </c>
      <c r="D10" s="3" t="s">
        <v>152</v>
      </c>
      <c r="E10" s="3" t="s">
        <v>162</v>
      </c>
      <c r="F10" s="3" t="s">
        <v>163</v>
      </c>
      <c r="G10" s="67"/>
      <c r="H10" s="67">
        <v>15</v>
      </c>
      <c r="I10" s="67"/>
      <c r="J10" s="67"/>
      <c r="K10" s="67"/>
      <c r="L10" s="67"/>
      <c r="N10" s="67"/>
      <c r="O10" s="67"/>
      <c r="P10" s="67"/>
      <c r="Q10" s="67"/>
      <c r="R10" s="67"/>
      <c r="S10" s="67">
        <f t="shared" si="0"/>
        <v>15</v>
      </c>
      <c r="T10" s="205" t="s">
        <v>168</v>
      </c>
    </row>
    <row r="11" spans="1:21" x14ac:dyDescent="0.25">
      <c r="A11" s="3"/>
      <c r="B11" s="3"/>
      <c r="C11" s="3"/>
      <c r="D11" s="3"/>
      <c r="E11" s="3"/>
      <c r="F11" s="3"/>
      <c r="G11" s="184">
        <f>SUM(G4:G10)</f>
        <v>0</v>
      </c>
      <c r="H11" s="184">
        <f t="shared" ref="H11:S11" si="1">SUM(H4:H10)</f>
        <v>1091.98</v>
      </c>
      <c r="I11" s="184">
        <f t="shared" si="1"/>
        <v>115.42</v>
      </c>
      <c r="J11" s="184">
        <f t="shared" si="1"/>
        <v>373</v>
      </c>
      <c r="K11" s="184">
        <f t="shared" si="1"/>
        <v>55</v>
      </c>
      <c r="L11" s="184">
        <f t="shared" si="1"/>
        <v>0</v>
      </c>
      <c r="M11" s="184">
        <f t="shared" si="1"/>
        <v>0</v>
      </c>
      <c r="N11" s="184">
        <f t="shared" si="1"/>
        <v>0</v>
      </c>
      <c r="O11" s="184">
        <f t="shared" si="1"/>
        <v>0</v>
      </c>
      <c r="P11" s="184">
        <f t="shared" si="1"/>
        <v>0</v>
      </c>
      <c r="Q11" s="184">
        <f t="shared" si="1"/>
        <v>0</v>
      </c>
      <c r="R11" s="184">
        <f t="shared" si="1"/>
        <v>85.6</v>
      </c>
      <c r="S11" s="184">
        <f t="shared" si="1"/>
        <v>1721</v>
      </c>
    </row>
    <row r="12" spans="1:21" x14ac:dyDescent="0.25">
      <c r="G12" s="190">
        <f>G11</f>
        <v>0</v>
      </c>
      <c r="H12" s="190">
        <f t="shared" ref="H12:S12" si="2">H11</f>
        <v>1091.98</v>
      </c>
      <c r="I12" s="190">
        <f t="shared" si="2"/>
        <v>115.42</v>
      </c>
      <c r="J12" s="190">
        <f t="shared" si="2"/>
        <v>373</v>
      </c>
      <c r="K12" s="190">
        <f t="shared" si="2"/>
        <v>55</v>
      </c>
      <c r="L12" s="190">
        <f t="shared" si="2"/>
        <v>0</v>
      </c>
      <c r="M12" s="190">
        <f t="shared" si="2"/>
        <v>0</v>
      </c>
      <c r="N12" s="190">
        <f t="shared" si="2"/>
        <v>0</v>
      </c>
      <c r="O12" s="190">
        <f t="shared" si="2"/>
        <v>0</v>
      </c>
      <c r="P12" s="190">
        <f t="shared" si="2"/>
        <v>0</v>
      </c>
      <c r="Q12" s="190">
        <f t="shared" si="2"/>
        <v>0</v>
      </c>
      <c r="R12" s="190">
        <f t="shared" si="2"/>
        <v>85.6</v>
      </c>
      <c r="S12" s="190">
        <f t="shared" si="2"/>
        <v>1721</v>
      </c>
    </row>
    <row r="13" spans="1:21" x14ac:dyDescent="0.25">
      <c r="A13" s="183" t="s">
        <v>80</v>
      </c>
      <c r="B13" s="183"/>
      <c r="C13" s="3"/>
      <c r="D13" s="3"/>
      <c r="E13" s="3"/>
      <c r="F13" s="3"/>
      <c r="T13" s="86"/>
      <c r="U13" s="87"/>
    </row>
    <row r="14" spans="1:21" x14ac:dyDescent="0.25">
      <c r="A14" s="3" t="s">
        <v>204</v>
      </c>
      <c r="B14" s="3" t="s">
        <v>187</v>
      </c>
      <c r="C14" s="3">
        <v>887.2</v>
      </c>
      <c r="D14" s="3" t="s">
        <v>152</v>
      </c>
      <c r="E14" s="3" t="s">
        <v>172</v>
      </c>
      <c r="F14" s="3" t="s">
        <v>173</v>
      </c>
      <c r="G14" s="67"/>
      <c r="H14" s="67"/>
      <c r="I14" s="67"/>
      <c r="J14" s="67"/>
      <c r="K14" s="67"/>
      <c r="L14" s="67"/>
      <c r="M14" s="67"/>
      <c r="N14" s="67"/>
      <c r="O14" s="67">
        <v>77</v>
      </c>
      <c r="P14" s="67"/>
      <c r="Q14" s="67"/>
      <c r="R14" s="67">
        <v>16</v>
      </c>
      <c r="S14" s="67">
        <f>SUM(G14:R14)</f>
        <v>93</v>
      </c>
      <c r="T14" s="205" t="s">
        <v>205</v>
      </c>
    </row>
    <row r="15" spans="1:21" x14ac:dyDescent="0.25">
      <c r="A15" s="3" t="s">
        <v>204</v>
      </c>
      <c r="B15" s="3" t="s">
        <v>188</v>
      </c>
      <c r="C15" s="3">
        <v>887.2</v>
      </c>
      <c r="D15" s="3" t="s">
        <v>152</v>
      </c>
      <c r="E15" s="3" t="s">
        <v>174</v>
      </c>
      <c r="F15" s="3" t="s">
        <v>175</v>
      </c>
      <c r="G15" s="67"/>
      <c r="H15" s="67"/>
      <c r="I15" s="67"/>
      <c r="J15" s="67"/>
      <c r="K15" s="67"/>
      <c r="L15" s="67"/>
      <c r="M15" s="67"/>
      <c r="N15" s="67"/>
      <c r="O15" s="67"/>
      <c r="P15" s="67">
        <f>464.22-R15</f>
        <v>396.85</v>
      </c>
      <c r="Q15" s="67"/>
      <c r="R15" s="67">
        <f>23.63+43.74</f>
        <v>67.37</v>
      </c>
      <c r="S15" s="67">
        <f>SUM(G15:R15)</f>
        <v>464.22</v>
      </c>
      <c r="T15" s="205" t="s">
        <v>205</v>
      </c>
    </row>
    <row r="16" spans="1:21" x14ac:dyDescent="0.25">
      <c r="A16" s="3" t="s">
        <v>204</v>
      </c>
      <c r="B16" s="3" t="s">
        <v>189</v>
      </c>
      <c r="C16" s="3">
        <v>887.2</v>
      </c>
      <c r="D16" s="3" t="s">
        <v>152</v>
      </c>
      <c r="E16" s="3" t="s">
        <v>159</v>
      </c>
      <c r="F16" s="3" t="s">
        <v>195</v>
      </c>
      <c r="G16" s="67"/>
      <c r="H16" s="67"/>
      <c r="I16" s="67"/>
      <c r="J16" s="67">
        <f>306+306</f>
        <v>612</v>
      </c>
      <c r="K16" s="67"/>
      <c r="L16" s="67"/>
      <c r="M16" s="67"/>
      <c r="N16" s="67"/>
      <c r="O16" s="67"/>
      <c r="P16" s="67"/>
      <c r="Q16" s="67"/>
      <c r="R16" s="67">
        <f>61.2*2</f>
        <v>122.4</v>
      </c>
      <c r="S16" s="67">
        <f>SUM(G16:R16)</f>
        <v>734.4</v>
      </c>
      <c r="T16" s="205" t="s">
        <v>205</v>
      </c>
    </row>
    <row r="17" spans="1:20" x14ac:dyDescent="0.25">
      <c r="A17" s="3" t="s">
        <v>204</v>
      </c>
      <c r="B17" s="3" t="s">
        <v>190</v>
      </c>
      <c r="C17" s="3">
        <v>887.2</v>
      </c>
      <c r="D17" s="3" t="s">
        <v>152</v>
      </c>
      <c r="E17" s="3" t="s">
        <v>196</v>
      </c>
      <c r="F17" s="3" t="s">
        <v>197</v>
      </c>
      <c r="G17" s="67"/>
      <c r="H17" s="67">
        <v>17</v>
      </c>
      <c r="I17" s="67"/>
      <c r="J17" s="67"/>
      <c r="K17" s="67"/>
      <c r="L17" s="67"/>
      <c r="M17" s="67"/>
      <c r="N17" s="67"/>
      <c r="O17" s="67"/>
      <c r="P17" s="67"/>
      <c r="Q17" s="67"/>
      <c r="R17" s="67">
        <v>3.4</v>
      </c>
      <c r="S17" s="67">
        <f t="shared" ref="S17:S21" si="3">SUM(G17:R17)</f>
        <v>20.399999999999999</v>
      </c>
      <c r="T17" s="205" t="s">
        <v>205</v>
      </c>
    </row>
    <row r="18" spans="1:20" x14ac:dyDescent="0.25">
      <c r="A18" s="3" t="s">
        <v>204</v>
      </c>
      <c r="B18" s="3" t="s">
        <v>191</v>
      </c>
      <c r="C18" s="3">
        <v>887.2</v>
      </c>
      <c r="D18" s="3" t="s">
        <v>152</v>
      </c>
      <c r="E18" s="3" t="s">
        <v>174</v>
      </c>
      <c r="F18" s="3" t="s">
        <v>197</v>
      </c>
      <c r="G18" s="67"/>
      <c r="H18" s="67"/>
      <c r="I18" s="67"/>
      <c r="J18" s="67"/>
      <c r="K18" s="67"/>
      <c r="L18" s="67"/>
      <c r="M18" s="67">
        <v>379.23</v>
      </c>
      <c r="N18" s="67"/>
      <c r="O18" s="67"/>
      <c r="P18" s="67"/>
      <c r="Q18" s="67"/>
      <c r="R18" s="67"/>
      <c r="S18" s="67">
        <f t="shared" si="3"/>
        <v>379.23</v>
      </c>
      <c r="T18" s="205" t="s">
        <v>205</v>
      </c>
    </row>
    <row r="19" spans="1:20" x14ac:dyDescent="0.25">
      <c r="A19" s="3" t="s">
        <v>204</v>
      </c>
      <c r="B19" s="3" t="s">
        <v>192</v>
      </c>
      <c r="C19" s="3">
        <v>887.2</v>
      </c>
      <c r="D19" s="3" t="s">
        <v>152</v>
      </c>
      <c r="E19" s="3" t="s">
        <v>94</v>
      </c>
      <c r="F19" s="3" t="s">
        <v>197</v>
      </c>
      <c r="G19" s="67"/>
      <c r="H19" s="67"/>
      <c r="I19" s="67"/>
      <c r="J19" s="67"/>
      <c r="K19" s="67"/>
      <c r="L19" s="67"/>
      <c r="M19" s="67"/>
      <c r="N19" s="67">
        <v>94.8</v>
      </c>
      <c r="O19" s="67"/>
      <c r="P19" s="67"/>
      <c r="Q19" s="67"/>
      <c r="R19" s="67"/>
      <c r="S19" s="67">
        <f t="shared" si="3"/>
        <v>94.8</v>
      </c>
      <c r="T19" s="205" t="s">
        <v>205</v>
      </c>
    </row>
    <row r="20" spans="1:20" x14ac:dyDescent="0.25">
      <c r="A20" s="3" t="s">
        <v>204</v>
      </c>
      <c r="B20" s="3" t="s">
        <v>193</v>
      </c>
      <c r="C20" s="3">
        <v>887.2</v>
      </c>
      <c r="D20" s="3" t="s">
        <v>152</v>
      </c>
      <c r="E20" s="3" t="s">
        <v>59</v>
      </c>
      <c r="F20" s="3" t="s">
        <v>30</v>
      </c>
      <c r="G20" s="67"/>
      <c r="H20" s="67">
        <v>150</v>
      </c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>
        <f t="shared" si="3"/>
        <v>150</v>
      </c>
      <c r="T20" s="205" t="s">
        <v>205</v>
      </c>
    </row>
    <row r="21" spans="1:20" x14ac:dyDescent="0.25">
      <c r="A21" s="200" t="s">
        <v>204</v>
      </c>
      <c r="B21" s="200" t="s">
        <v>194</v>
      </c>
      <c r="C21" s="200">
        <v>887.2</v>
      </c>
      <c r="D21" s="200" t="s">
        <v>152</v>
      </c>
      <c r="E21" s="200" t="s">
        <v>198</v>
      </c>
      <c r="F21" s="200" t="s">
        <v>155</v>
      </c>
      <c r="G21" s="201"/>
      <c r="H21" s="201"/>
      <c r="I21" s="201"/>
      <c r="J21" s="201"/>
      <c r="K21" s="201">
        <v>70</v>
      </c>
      <c r="L21" s="201"/>
      <c r="M21" s="201"/>
      <c r="N21" s="201"/>
      <c r="O21" s="201"/>
      <c r="P21" s="201"/>
      <c r="Q21" s="201"/>
      <c r="R21" s="201">
        <v>14</v>
      </c>
      <c r="S21" s="201">
        <f t="shared" si="3"/>
        <v>84</v>
      </c>
      <c r="T21" s="206" t="s">
        <v>205</v>
      </c>
    </row>
    <row r="22" spans="1:20" x14ac:dyDescent="0.25">
      <c r="A22" s="3"/>
      <c r="B22" s="3"/>
      <c r="C22" s="3"/>
      <c r="D22" s="3"/>
      <c r="E22" s="3"/>
      <c r="F22" s="3"/>
      <c r="G22" s="184">
        <f>SUM(G14:G21)</f>
        <v>0</v>
      </c>
      <c r="H22" s="184">
        <f t="shared" ref="H22:S22" si="4">SUM(H14:H21)</f>
        <v>167</v>
      </c>
      <c r="I22" s="184">
        <f t="shared" si="4"/>
        <v>0</v>
      </c>
      <c r="J22" s="184">
        <f t="shared" si="4"/>
        <v>612</v>
      </c>
      <c r="K22" s="184">
        <f t="shared" si="4"/>
        <v>70</v>
      </c>
      <c r="L22" s="184">
        <f t="shared" si="4"/>
        <v>0</v>
      </c>
      <c r="M22" s="184">
        <f t="shared" si="4"/>
        <v>379.23</v>
      </c>
      <c r="N22" s="184">
        <f t="shared" si="4"/>
        <v>94.8</v>
      </c>
      <c r="O22" s="184">
        <f t="shared" si="4"/>
        <v>77</v>
      </c>
      <c r="P22" s="184">
        <f t="shared" si="4"/>
        <v>396.85</v>
      </c>
      <c r="Q22" s="184">
        <f t="shared" si="4"/>
        <v>0</v>
      </c>
      <c r="R22" s="184">
        <f t="shared" si="4"/>
        <v>223.17000000000002</v>
      </c>
      <c r="S22" s="184">
        <f t="shared" si="4"/>
        <v>2020.05</v>
      </c>
    </row>
    <row r="23" spans="1:20" x14ac:dyDescent="0.25">
      <c r="A23" s="3"/>
      <c r="B23" s="3"/>
      <c r="C23" s="3"/>
      <c r="D23" s="3"/>
      <c r="E23" s="3"/>
      <c r="F23" s="3"/>
      <c r="G23" s="191">
        <f>G12+G22</f>
        <v>0</v>
      </c>
      <c r="H23" s="191">
        <f t="shared" ref="H23:S23" si="5">H12+H22</f>
        <v>1258.98</v>
      </c>
      <c r="I23" s="191">
        <f t="shared" si="5"/>
        <v>115.42</v>
      </c>
      <c r="J23" s="191">
        <f t="shared" si="5"/>
        <v>985</v>
      </c>
      <c r="K23" s="191">
        <f t="shared" si="5"/>
        <v>125</v>
      </c>
      <c r="L23" s="191">
        <f t="shared" si="5"/>
        <v>0</v>
      </c>
      <c r="M23" s="191">
        <f t="shared" si="5"/>
        <v>379.23</v>
      </c>
      <c r="N23" s="191">
        <f t="shared" si="5"/>
        <v>94.8</v>
      </c>
      <c r="O23" s="191">
        <f t="shared" si="5"/>
        <v>77</v>
      </c>
      <c r="P23" s="191">
        <f t="shared" si="5"/>
        <v>396.85</v>
      </c>
      <c r="Q23" s="191">
        <f t="shared" si="5"/>
        <v>0</v>
      </c>
      <c r="R23" s="191">
        <f t="shared" si="5"/>
        <v>308.77</v>
      </c>
      <c r="S23" s="191">
        <f t="shared" si="5"/>
        <v>3741.05</v>
      </c>
    </row>
    <row r="24" spans="1:20" x14ac:dyDescent="0.25">
      <c r="A24" s="7"/>
      <c r="B24" s="7"/>
      <c r="C24" s="3"/>
      <c r="D24" s="3"/>
      <c r="E24" s="3"/>
      <c r="F24" s="3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1:20" x14ac:dyDescent="0.25">
      <c r="A25" s="183" t="s">
        <v>214</v>
      </c>
      <c r="B25" s="3"/>
      <c r="C25" s="3"/>
      <c r="D25" s="3"/>
      <c r="E25" s="3"/>
      <c r="F25" s="3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1:20" x14ac:dyDescent="0.25">
      <c r="A26" s="3" t="s">
        <v>213</v>
      </c>
      <c r="B26" s="3" t="s">
        <v>215</v>
      </c>
      <c r="C26" s="3">
        <v>898.2</v>
      </c>
      <c r="D26" s="3" t="s">
        <v>152</v>
      </c>
      <c r="E26" s="3" t="s">
        <v>159</v>
      </c>
      <c r="F26" s="3" t="s">
        <v>195</v>
      </c>
      <c r="G26" s="67"/>
      <c r="H26" s="67"/>
      <c r="I26" s="67"/>
      <c r="J26" s="67">
        <f>153+153+153</f>
        <v>459</v>
      </c>
      <c r="K26" s="67"/>
      <c r="L26" s="67"/>
      <c r="M26" s="67"/>
      <c r="N26" s="67"/>
      <c r="O26" s="67"/>
      <c r="P26" s="67"/>
      <c r="Q26" s="67"/>
      <c r="R26" s="67">
        <f>30.6*3</f>
        <v>91.800000000000011</v>
      </c>
      <c r="S26" s="67">
        <f>SUM(G26:R26)</f>
        <v>550.79999999999995</v>
      </c>
      <c r="T26" s="204" t="s">
        <v>229</v>
      </c>
    </row>
    <row r="27" spans="1:20" x14ac:dyDescent="0.25">
      <c r="A27" s="3" t="s">
        <v>213</v>
      </c>
      <c r="B27" s="3" t="s">
        <v>216</v>
      </c>
      <c r="C27" s="3">
        <v>898.2</v>
      </c>
      <c r="D27" s="3" t="s">
        <v>152</v>
      </c>
      <c r="E27" s="3" t="s">
        <v>196</v>
      </c>
      <c r="F27" s="3" t="s">
        <v>217</v>
      </c>
      <c r="G27" s="67"/>
      <c r="H27" s="67">
        <v>30</v>
      </c>
      <c r="I27" s="67"/>
      <c r="J27" s="67"/>
      <c r="K27" s="67"/>
      <c r="L27" s="67"/>
      <c r="M27" s="67"/>
      <c r="N27" s="67"/>
      <c r="O27" s="67"/>
      <c r="P27" s="67"/>
      <c r="Q27" s="67"/>
      <c r="R27" s="67">
        <v>6</v>
      </c>
      <c r="S27" s="67">
        <f t="shared" ref="S27:S31" si="6">SUM(G27:R27)</f>
        <v>36</v>
      </c>
      <c r="T27" s="204" t="s">
        <v>229</v>
      </c>
    </row>
    <row r="28" spans="1:20" x14ac:dyDescent="0.25">
      <c r="A28" s="3" t="s">
        <v>213</v>
      </c>
      <c r="B28" s="3" t="s">
        <v>220</v>
      </c>
      <c r="C28" s="3">
        <v>898.2</v>
      </c>
      <c r="D28" s="3" t="s">
        <v>152</v>
      </c>
      <c r="E28" s="3" t="s">
        <v>174</v>
      </c>
      <c r="F28" s="3" t="s">
        <v>218</v>
      </c>
      <c r="G28" s="84"/>
      <c r="H28" s="81">
        <f>35+67.87</f>
        <v>102.87</v>
      </c>
      <c r="I28" s="81"/>
      <c r="J28" s="81"/>
      <c r="K28" s="81"/>
      <c r="L28" s="81"/>
      <c r="M28" s="81">
        <f>40+383.2</f>
        <v>423.2</v>
      </c>
      <c r="N28" s="81"/>
      <c r="O28" s="81"/>
      <c r="P28" s="81"/>
      <c r="Q28" s="81"/>
      <c r="R28" s="81">
        <f>11.98</f>
        <v>11.98</v>
      </c>
      <c r="S28" s="67">
        <f t="shared" si="6"/>
        <v>538.04999999999995</v>
      </c>
      <c r="T28" s="204" t="s">
        <v>229</v>
      </c>
    </row>
    <row r="29" spans="1:20" x14ac:dyDescent="0.25">
      <c r="A29" s="3" t="s">
        <v>213</v>
      </c>
      <c r="B29" s="3" t="s">
        <v>219</v>
      </c>
      <c r="C29" s="3">
        <v>898.2</v>
      </c>
      <c r="D29" s="3" t="s">
        <v>152</v>
      </c>
      <c r="E29" s="3" t="s">
        <v>94</v>
      </c>
      <c r="F29" s="3" t="s">
        <v>221</v>
      </c>
      <c r="G29" s="67"/>
      <c r="H29" s="67"/>
      <c r="I29" s="67"/>
      <c r="J29" s="67"/>
      <c r="K29" s="67"/>
      <c r="L29" s="67"/>
      <c r="M29" s="67"/>
      <c r="N29" s="67">
        <v>95.6</v>
      </c>
      <c r="O29" s="67"/>
      <c r="P29" s="67"/>
      <c r="Q29" s="67"/>
      <c r="R29" s="67"/>
      <c r="S29" s="67">
        <f t="shared" si="6"/>
        <v>95.6</v>
      </c>
      <c r="T29" s="204" t="s">
        <v>229</v>
      </c>
    </row>
    <row r="30" spans="1:20" x14ac:dyDescent="0.25">
      <c r="A30" s="3" t="s">
        <v>213</v>
      </c>
      <c r="B30" s="3" t="s">
        <v>222</v>
      </c>
      <c r="C30" s="3">
        <v>898.2</v>
      </c>
      <c r="D30" s="3" t="s">
        <v>152</v>
      </c>
      <c r="E30" s="3" t="s">
        <v>170</v>
      </c>
      <c r="F30" s="3" t="s">
        <v>223</v>
      </c>
      <c r="G30" s="67"/>
      <c r="H30" s="67">
        <v>28</v>
      </c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>
        <f t="shared" si="6"/>
        <v>28</v>
      </c>
      <c r="T30" s="204" t="s">
        <v>229</v>
      </c>
    </row>
    <row r="31" spans="1:20" x14ac:dyDescent="0.25">
      <c r="A31" s="3" t="s">
        <v>213</v>
      </c>
      <c r="B31" s="3" t="s">
        <v>224</v>
      </c>
      <c r="C31" s="3">
        <v>898.2</v>
      </c>
      <c r="D31" s="3">
        <v>100657</v>
      </c>
      <c r="E31" s="3" t="s">
        <v>225</v>
      </c>
      <c r="F31" s="3" t="s">
        <v>226</v>
      </c>
      <c r="G31" s="67"/>
      <c r="H31" s="67"/>
      <c r="I31" s="67"/>
      <c r="J31" s="67">
        <v>66</v>
      </c>
      <c r="K31" s="67"/>
      <c r="L31" s="67"/>
      <c r="M31" s="67"/>
      <c r="N31" s="67"/>
      <c r="O31" s="67"/>
      <c r="P31" s="67"/>
      <c r="Q31" s="67"/>
      <c r="R31" s="67">
        <v>13.2</v>
      </c>
      <c r="S31" s="67">
        <f t="shared" si="6"/>
        <v>79.2</v>
      </c>
      <c r="T31" s="204" t="s">
        <v>229</v>
      </c>
    </row>
    <row r="32" spans="1:20" x14ac:dyDescent="0.25">
      <c r="A32" s="3"/>
      <c r="B32" s="3"/>
      <c r="C32" s="3"/>
      <c r="D32" s="3"/>
      <c r="E32" s="3"/>
      <c r="F32" s="3"/>
      <c r="G32" s="184">
        <f>SUM(G25:G31)</f>
        <v>0</v>
      </c>
      <c r="H32" s="184">
        <f t="shared" ref="H32:S32" si="7">SUM(H25:H31)</f>
        <v>160.87</v>
      </c>
      <c r="I32" s="184">
        <f t="shared" si="7"/>
        <v>0</v>
      </c>
      <c r="J32" s="184">
        <f t="shared" si="7"/>
        <v>525</v>
      </c>
      <c r="K32" s="184">
        <f t="shared" si="7"/>
        <v>0</v>
      </c>
      <c r="L32" s="184">
        <f t="shared" si="7"/>
        <v>0</v>
      </c>
      <c r="M32" s="184">
        <f t="shared" si="7"/>
        <v>423.2</v>
      </c>
      <c r="N32" s="184">
        <f t="shared" si="7"/>
        <v>95.6</v>
      </c>
      <c r="O32" s="184">
        <f t="shared" si="7"/>
        <v>0</v>
      </c>
      <c r="P32" s="184">
        <f t="shared" si="7"/>
        <v>0</v>
      </c>
      <c r="Q32" s="184">
        <f t="shared" si="7"/>
        <v>0</v>
      </c>
      <c r="R32" s="184">
        <f t="shared" si="7"/>
        <v>122.98000000000002</v>
      </c>
      <c r="S32" s="184">
        <f t="shared" si="7"/>
        <v>1327.6499999999999</v>
      </c>
    </row>
    <row r="33" spans="1:19" x14ac:dyDescent="0.25">
      <c r="A33" s="3"/>
      <c r="B33" s="3"/>
      <c r="C33" s="3"/>
      <c r="D33" s="3"/>
      <c r="E33" s="3"/>
      <c r="F33" s="3"/>
      <c r="G33" s="191">
        <f>G23+G32</f>
        <v>0</v>
      </c>
      <c r="H33" s="191">
        <f t="shared" ref="H33:S33" si="8">H23+H32</f>
        <v>1419.85</v>
      </c>
      <c r="I33" s="191">
        <f t="shared" si="8"/>
        <v>115.42</v>
      </c>
      <c r="J33" s="191">
        <f t="shared" si="8"/>
        <v>1510</v>
      </c>
      <c r="K33" s="191">
        <f t="shared" si="8"/>
        <v>125</v>
      </c>
      <c r="L33" s="191">
        <f t="shared" si="8"/>
        <v>0</v>
      </c>
      <c r="M33" s="191">
        <f t="shared" si="8"/>
        <v>802.43000000000006</v>
      </c>
      <c r="N33" s="191">
        <f t="shared" si="8"/>
        <v>190.39999999999998</v>
      </c>
      <c r="O33" s="191">
        <f t="shared" si="8"/>
        <v>77</v>
      </c>
      <c r="P33" s="191">
        <f t="shared" si="8"/>
        <v>396.85</v>
      </c>
      <c r="Q33" s="191">
        <f t="shared" si="8"/>
        <v>0</v>
      </c>
      <c r="R33" s="191">
        <f t="shared" si="8"/>
        <v>431.75</v>
      </c>
      <c r="S33" s="191">
        <f t="shared" si="8"/>
        <v>5068.7</v>
      </c>
    </row>
    <row r="34" spans="1:19" x14ac:dyDescent="0.25">
      <c r="A34" s="3"/>
      <c r="B34" s="3"/>
      <c r="C34" s="3"/>
      <c r="D34" s="3"/>
      <c r="E34" s="3"/>
      <c r="F34" s="3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</row>
    <row r="35" spans="1:19" x14ac:dyDescent="0.25">
      <c r="A35" s="3"/>
      <c r="B35" s="3"/>
      <c r="C35" s="3"/>
      <c r="D35" s="3"/>
      <c r="E35" s="3"/>
      <c r="F35" s="3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</row>
    <row r="36" spans="1:19" x14ac:dyDescent="0.25">
      <c r="A36" s="3"/>
      <c r="B36" s="3"/>
      <c r="C36" s="3"/>
      <c r="D36" s="3"/>
      <c r="E36" s="3"/>
      <c r="F36" s="3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</row>
    <row r="37" spans="1:19" x14ac:dyDescent="0.25">
      <c r="A37" s="3"/>
      <c r="B37" s="3"/>
      <c r="C37" s="3"/>
      <c r="D37" s="3"/>
      <c r="E37" s="3"/>
      <c r="F37" s="3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</row>
    <row r="38" spans="1:19" x14ac:dyDescent="0.25">
      <c r="A38" s="3"/>
      <c r="B38" s="3"/>
      <c r="C38" s="3"/>
      <c r="D38" s="3"/>
      <c r="E38" s="3"/>
      <c r="F38" s="3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</row>
    <row r="39" spans="1:19" x14ac:dyDescent="0.25">
      <c r="A39" s="3"/>
      <c r="B39" s="3"/>
      <c r="C39" s="3"/>
      <c r="D39" s="3"/>
      <c r="E39" s="3"/>
      <c r="F39" s="3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</row>
    <row r="40" spans="1:19" x14ac:dyDescent="0.25">
      <c r="A40" s="3"/>
      <c r="B40" s="3"/>
      <c r="C40" s="3"/>
      <c r="D40" s="3"/>
      <c r="E40" s="3"/>
      <c r="F40" s="3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</row>
    <row r="41" spans="1:19" x14ac:dyDescent="0.25">
      <c r="A41" s="3"/>
      <c r="B41" s="3"/>
      <c r="C41" s="3"/>
      <c r="D41" s="3"/>
      <c r="E41" s="3"/>
      <c r="F41" s="3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</row>
    <row r="42" spans="1:19" x14ac:dyDescent="0.25">
      <c r="A42" s="3"/>
      <c r="B42" s="3"/>
      <c r="C42" s="3"/>
      <c r="D42" s="3"/>
      <c r="E42" s="3"/>
      <c r="F42" s="3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</row>
    <row r="43" spans="1:19" x14ac:dyDescent="0.25">
      <c r="A43" s="3"/>
      <c r="B43" s="3"/>
      <c r="C43" s="3"/>
      <c r="D43" s="3"/>
      <c r="E43" s="3"/>
      <c r="F43" s="3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</row>
    <row r="44" spans="1:19" x14ac:dyDescent="0.25">
      <c r="A44" s="3"/>
      <c r="B44" s="3"/>
      <c r="C44" s="3"/>
      <c r="D44" s="3"/>
      <c r="E44" s="3"/>
      <c r="F44" s="3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</row>
    <row r="45" spans="1:19" x14ac:dyDescent="0.25">
      <c r="A45" s="3"/>
      <c r="B45" s="3"/>
      <c r="C45" s="3"/>
      <c r="D45" s="3"/>
      <c r="E45" s="3"/>
      <c r="F45" s="3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</row>
    <row r="46" spans="1:19" x14ac:dyDescent="0.25">
      <c r="A46" s="3"/>
      <c r="B46" s="3"/>
      <c r="C46" s="3"/>
      <c r="D46" s="3"/>
      <c r="E46" s="3"/>
      <c r="F46" s="3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</row>
    <row r="47" spans="1:19" s="78" customFormat="1" x14ac:dyDescent="0.25">
      <c r="A47" s="80"/>
      <c r="B47" s="80"/>
      <c r="C47" s="3"/>
      <c r="D47" s="80"/>
      <c r="E47" s="80"/>
      <c r="F47" s="80"/>
      <c r="G47" s="81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67"/>
    </row>
    <row r="48" spans="1:19" s="78" customFormat="1" x14ac:dyDescent="0.25">
      <c r="A48" s="80"/>
      <c r="B48" s="80"/>
      <c r="C48" s="3"/>
      <c r="D48" s="80"/>
      <c r="E48" s="80"/>
      <c r="F48" s="80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</row>
    <row r="49" spans="1:20" s="78" customFormat="1" x14ac:dyDescent="0.25">
      <c r="A49" s="80"/>
      <c r="B49" s="80"/>
      <c r="C49" s="3"/>
      <c r="D49" s="80"/>
      <c r="E49" s="80"/>
      <c r="F49" s="80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</row>
    <row r="50" spans="1:20" s="78" customFormat="1" x14ac:dyDescent="0.25">
      <c r="A50" s="80"/>
      <c r="B50" s="80"/>
      <c r="C50" s="3"/>
      <c r="D50" s="80"/>
      <c r="E50" s="80"/>
      <c r="F50" s="80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1:20" s="78" customFormat="1" x14ac:dyDescent="0.25">
      <c r="A51" s="80"/>
      <c r="B51" s="80"/>
      <c r="C51" s="3"/>
      <c r="D51" s="80"/>
      <c r="E51" s="80"/>
      <c r="F51" s="80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spans="1:20" s="78" customFormat="1" x14ac:dyDescent="0.25">
      <c r="A52" s="80"/>
      <c r="B52" s="80"/>
      <c r="C52" s="3"/>
      <c r="D52" s="80"/>
      <c r="E52" s="80"/>
      <c r="F52" s="80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79"/>
    </row>
    <row r="53" spans="1:20" s="78" customFormat="1" x14ac:dyDescent="0.25">
      <c r="A53" s="80"/>
      <c r="B53" s="80"/>
      <c r="C53" s="3"/>
      <c r="D53" s="80"/>
      <c r="E53" s="80"/>
      <c r="F53" s="80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</row>
    <row r="54" spans="1:20" s="78" customFormat="1" x14ac:dyDescent="0.25">
      <c r="A54" s="80"/>
      <c r="B54" s="80"/>
      <c r="C54" s="3"/>
      <c r="D54" s="80"/>
      <c r="E54" s="80"/>
      <c r="F54" s="80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</row>
    <row r="55" spans="1:20" s="78" customFormat="1" x14ac:dyDescent="0.25">
      <c r="A55" s="80"/>
      <c r="B55" s="80"/>
      <c r="C55" s="3"/>
      <c r="D55" s="80"/>
      <c r="E55" s="80"/>
      <c r="F55" s="80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pans="1:20" s="78" customFormat="1" x14ac:dyDescent="0.25">
      <c r="A56" s="80"/>
      <c r="B56" s="80"/>
      <c r="C56" s="3"/>
      <c r="D56" s="80"/>
      <c r="E56" s="80"/>
      <c r="F56" s="80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pans="1:20" s="78" customFormat="1" x14ac:dyDescent="0.25">
      <c r="A57" s="80"/>
      <c r="B57" s="80"/>
      <c r="C57" s="3"/>
      <c r="D57" s="80"/>
      <c r="E57" s="80"/>
      <c r="F57" s="80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pans="1:20" s="78" customFormat="1" x14ac:dyDescent="0.25">
      <c r="A58" s="80"/>
      <c r="B58" s="80"/>
      <c r="C58" s="3"/>
      <c r="D58" s="80"/>
      <c r="E58" s="80"/>
      <c r="F58" s="80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</row>
    <row r="59" spans="1:20" s="78" customFormat="1" x14ac:dyDescent="0.25">
      <c r="A59" s="80"/>
      <c r="B59" s="80"/>
      <c r="C59" s="3"/>
      <c r="D59" s="80"/>
      <c r="E59" s="80"/>
      <c r="F59" s="80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</row>
    <row r="60" spans="1:20" s="78" customFormat="1" x14ac:dyDescent="0.25">
      <c r="A60" s="80"/>
      <c r="B60" s="80"/>
      <c r="C60" s="3"/>
      <c r="D60" s="80"/>
      <c r="E60" s="80"/>
      <c r="F60" s="80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</row>
    <row r="61" spans="1:20" s="78" customFormat="1" x14ac:dyDescent="0.25">
      <c r="A61" s="80"/>
      <c r="B61" s="80"/>
      <c r="C61" s="3"/>
      <c r="D61" s="80"/>
      <c r="E61" s="80"/>
      <c r="F61" s="80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</row>
    <row r="62" spans="1:20" s="78" customFormat="1" x14ac:dyDescent="0.25">
      <c r="A62" s="80"/>
      <c r="B62" s="80"/>
      <c r="C62" s="3"/>
      <c r="D62" s="80"/>
      <c r="E62" s="80"/>
      <c r="F62" s="80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spans="1:20" s="78" customFormat="1" x14ac:dyDescent="0.25">
      <c r="A63" s="80"/>
      <c r="B63" s="80"/>
      <c r="C63" s="3"/>
      <c r="D63" s="80"/>
      <c r="E63" s="80"/>
      <c r="F63" s="80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</row>
    <row r="64" spans="1:20" s="78" customFormat="1" x14ac:dyDescent="0.25">
      <c r="A64" s="80"/>
      <c r="B64" s="80"/>
      <c r="C64" s="3"/>
      <c r="D64" s="80"/>
      <c r="E64" s="80"/>
      <c r="F64" s="80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</row>
    <row r="65" spans="1:19" x14ac:dyDescent="0.25">
      <c r="A65" s="83"/>
      <c r="B65" s="83"/>
      <c r="C65" s="83"/>
      <c r="D65" s="83"/>
      <c r="E65" s="83"/>
      <c r="F65" s="83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</row>
    <row r="67" spans="1:19" x14ac:dyDescent="0.25">
      <c r="L67" s="1"/>
    </row>
    <row r="69" spans="1:19" x14ac:dyDescent="0.25">
      <c r="M69" s="1"/>
      <c r="N69" s="1"/>
    </row>
    <row r="70" spans="1:19" x14ac:dyDescent="0.25">
      <c r="M70" s="1"/>
      <c r="N70" s="1"/>
    </row>
    <row r="71" spans="1:19" x14ac:dyDescent="0.25">
      <c r="M71" s="1"/>
      <c r="N71" s="1"/>
    </row>
  </sheetData>
  <mergeCells count="1">
    <mergeCell ref="A1:D1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zoomScale="90" zoomScaleNormal="90" workbookViewId="0">
      <selection activeCell="G28" sqref="G28"/>
    </sheetView>
  </sheetViews>
  <sheetFormatPr defaultColWidth="24.28515625" defaultRowHeight="15" x14ac:dyDescent="0.25"/>
  <cols>
    <col min="1" max="1" width="57.7109375" bestFit="1" customWidth="1"/>
    <col min="2" max="2" width="22.5703125" bestFit="1" customWidth="1"/>
    <col min="3" max="3" width="22.5703125" customWidth="1"/>
    <col min="4" max="4" width="21.42578125" customWidth="1"/>
    <col min="5" max="5" width="11.5703125" bestFit="1" customWidth="1"/>
    <col min="6" max="6" width="11.28515625" bestFit="1" customWidth="1"/>
    <col min="7" max="7" width="8.28515625" bestFit="1" customWidth="1"/>
    <col min="8" max="8" width="9.5703125" bestFit="1" customWidth="1"/>
    <col min="9" max="9" width="9.85546875" bestFit="1" customWidth="1"/>
    <col min="10" max="10" width="8.42578125" bestFit="1" customWidth="1"/>
    <col min="11" max="11" width="8.140625" bestFit="1" customWidth="1"/>
    <col min="12" max="12" width="12.5703125" bestFit="1" customWidth="1"/>
    <col min="13" max="13" width="22.5703125" bestFit="1" customWidth="1"/>
    <col min="14" max="14" width="12.28515625" customWidth="1"/>
  </cols>
  <sheetData>
    <row r="1" spans="1:14" x14ac:dyDescent="0.25">
      <c r="A1" s="58" t="s">
        <v>86</v>
      </c>
    </row>
    <row r="2" spans="1:14" x14ac:dyDescent="0.25">
      <c r="A2" s="57" t="s">
        <v>90</v>
      </c>
      <c r="B2" s="57"/>
      <c r="C2" s="57"/>
      <c r="D2" s="57"/>
      <c r="F2" s="56"/>
      <c r="N2" s="57"/>
    </row>
    <row r="3" spans="1:14" x14ac:dyDescent="0.25">
      <c r="A3" s="55" t="s">
        <v>85</v>
      </c>
      <c r="B3" s="54"/>
      <c r="C3" s="54"/>
      <c r="D3" s="54" t="s">
        <v>87</v>
      </c>
      <c r="E3" s="50" t="s">
        <v>82</v>
      </c>
      <c r="F3" s="51" t="s">
        <v>81</v>
      </c>
      <c r="G3" s="50" t="s">
        <v>80</v>
      </c>
      <c r="H3" s="50" t="s">
        <v>79</v>
      </c>
      <c r="I3" s="50" t="s">
        <v>78</v>
      </c>
      <c r="J3" s="50" t="s">
        <v>77</v>
      </c>
      <c r="K3" s="50" t="s">
        <v>76</v>
      </c>
      <c r="L3" s="50" t="s">
        <v>75</v>
      </c>
      <c r="M3" s="50" t="s">
        <v>89</v>
      </c>
      <c r="N3" s="52" t="s">
        <v>88</v>
      </c>
    </row>
    <row r="4" spans="1:14" x14ac:dyDescent="0.25">
      <c r="A4" s="28" t="s">
        <v>73</v>
      </c>
      <c r="B4" s="46"/>
      <c r="C4" s="46"/>
      <c r="D4" s="89">
        <f>8323.18</f>
        <v>8323.18</v>
      </c>
      <c r="E4" s="47"/>
      <c r="F4" s="47"/>
      <c r="G4" s="47"/>
      <c r="H4" s="47"/>
      <c r="I4" s="47"/>
      <c r="J4" s="47"/>
      <c r="K4" s="47"/>
      <c r="L4" s="63">
        <f>D4</f>
        <v>8323.18</v>
      </c>
      <c r="M4" s="16" t="s">
        <v>62</v>
      </c>
      <c r="N4" s="48">
        <v>11417.45</v>
      </c>
    </row>
    <row r="5" spans="1:14" x14ac:dyDescent="0.25">
      <c r="A5" s="28" t="s">
        <v>72</v>
      </c>
      <c r="B5" s="46"/>
      <c r="C5" s="46"/>
      <c r="D5" s="89">
        <f>5051*1.015</f>
        <v>5126.7649999999994</v>
      </c>
      <c r="E5" s="45"/>
      <c r="F5" s="24">
        <f>income!G8+income!O9</f>
        <v>5320</v>
      </c>
      <c r="G5" s="24"/>
      <c r="H5" s="24"/>
      <c r="I5" s="24"/>
      <c r="J5" s="24"/>
      <c r="K5" s="24"/>
      <c r="L5" s="63">
        <f>SUM(E5:K5)</f>
        <v>5320</v>
      </c>
      <c r="M5" s="44"/>
      <c r="N5" s="26">
        <v>5051</v>
      </c>
    </row>
    <row r="6" spans="1:14" x14ac:dyDescent="0.25">
      <c r="A6" s="33" t="s">
        <v>71</v>
      </c>
      <c r="B6" s="28"/>
      <c r="C6" s="28"/>
      <c r="D6" s="89">
        <v>520</v>
      </c>
      <c r="E6" s="24"/>
      <c r="F6" s="24"/>
      <c r="G6" s="24">
        <v>508</v>
      </c>
      <c r="H6" s="24"/>
      <c r="I6" s="24"/>
      <c r="J6" s="24"/>
      <c r="K6" s="24"/>
      <c r="L6" s="63">
        <f t="shared" ref="L6:L15" si="0">SUM(E6:K6)</f>
        <v>508</v>
      </c>
      <c r="M6" s="22"/>
      <c r="N6" s="26">
        <v>523</v>
      </c>
    </row>
    <row r="7" spans="1:14" x14ac:dyDescent="0.25">
      <c r="A7" s="33" t="s">
        <v>70</v>
      </c>
      <c r="B7" s="28"/>
      <c r="C7" s="28"/>
      <c r="D7" s="89">
        <v>4</v>
      </c>
      <c r="E7" s="24"/>
      <c r="F7" s="24"/>
      <c r="G7" s="24">
        <v>1</v>
      </c>
      <c r="H7" s="24">
        <v>1</v>
      </c>
      <c r="I7" s="24"/>
      <c r="J7" s="24"/>
      <c r="K7" s="24"/>
      <c r="L7" s="63">
        <f t="shared" si="0"/>
        <v>2</v>
      </c>
      <c r="M7" s="22"/>
      <c r="N7" s="26">
        <v>4.17</v>
      </c>
    </row>
    <row r="8" spans="1:14" x14ac:dyDescent="0.25">
      <c r="A8" s="33" t="s">
        <v>69</v>
      </c>
      <c r="B8" s="28"/>
      <c r="C8" s="28"/>
      <c r="D8" s="89">
        <v>102</v>
      </c>
      <c r="E8" s="24"/>
      <c r="F8" s="24"/>
      <c r="G8" s="24">
        <v>102.21</v>
      </c>
      <c r="H8" s="24"/>
      <c r="I8" s="24"/>
      <c r="J8" s="24"/>
      <c r="K8" s="24"/>
      <c r="L8" s="63">
        <f t="shared" si="0"/>
        <v>102.21</v>
      </c>
      <c r="M8" s="22"/>
      <c r="N8" s="26">
        <v>101.05</v>
      </c>
    </row>
    <row r="9" spans="1:14" x14ac:dyDescent="0.25">
      <c r="A9" s="33" t="s">
        <v>68</v>
      </c>
      <c r="B9" s="28"/>
      <c r="C9" s="28"/>
      <c r="D9" s="64">
        <v>0</v>
      </c>
      <c r="E9" s="24"/>
      <c r="F9" s="24"/>
      <c r="G9" s="24"/>
      <c r="H9" s="24">
        <v>500</v>
      </c>
      <c r="I9" s="24"/>
      <c r="J9" s="24"/>
      <c r="K9" s="24"/>
      <c r="L9" s="63">
        <f t="shared" si="0"/>
        <v>500</v>
      </c>
      <c r="M9" s="22"/>
      <c r="N9" s="26">
        <v>3855</v>
      </c>
    </row>
    <row r="10" spans="1:14" x14ac:dyDescent="0.25">
      <c r="A10" s="33" t="s">
        <v>30</v>
      </c>
      <c r="B10" s="28"/>
      <c r="C10" s="28"/>
      <c r="D10" s="64">
        <v>0</v>
      </c>
      <c r="E10" s="24"/>
      <c r="F10" s="24"/>
      <c r="G10" s="24"/>
      <c r="H10" s="24"/>
      <c r="I10" s="24"/>
      <c r="J10" s="24"/>
      <c r="K10" s="24"/>
      <c r="L10" s="63">
        <f t="shared" si="0"/>
        <v>0</v>
      </c>
      <c r="M10" s="22"/>
      <c r="N10" s="26">
        <v>0</v>
      </c>
    </row>
    <row r="11" spans="1:14" x14ac:dyDescent="0.25">
      <c r="A11" s="33" t="s">
        <v>67</v>
      </c>
      <c r="B11" s="28"/>
      <c r="C11" s="28"/>
      <c r="D11" s="64"/>
      <c r="E11" s="24"/>
      <c r="F11" s="24"/>
      <c r="G11" s="24"/>
      <c r="H11" s="24"/>
      <c r="I11" s="24"/>
      <c r="J11" s="24"/>
      <c r="K11" s="24"/>
      <c r="L11" s="63">
        <f t="shared" si="0"/>
        <v>0</v>
      </c>
      <c r="M11" s="22"/>
      <c r="N11" s="26"/>
    </row>
    <row r="12" spans="1:14" x14ac:dyDescent="0.25">
      <c r="A12" s="32" t="s">
        <v>19</v>
      </c>
      <c r="B12" s="28"/>
      <c r="C12" s="28"/>
      <c r="D12" s="64"/>
      <c r="E12" s="24"/>
      <c r="F12" s="24"/>
      <c r="G12" s="24"/>
      <c r="H12" s="24"/>
      <c r="I12" s="24"/>
      <c r="J12" s="24"/>
      <c r="K12" s="24"/>
      <c r="L12" s="63">
        <f t="shared" si="0"/>
        <v>0</v>
      </c>
      <c r="M12" s="22"/>
      <c r="N12" s="26">
        <v>455.28</v>
      </c>
    </row>
    <row r="13" spans="1:14" x14ac:dyDescent="0.25">
      <c r="A13" s="32" t="s">
        <v>66</v>
      </c>
      <c r="B13" s="43"/>
      <c r="C13" s="43"/>
      <c r="D13" s="64"/>
      <c r="E13" s="24"/>
      <c r="F13" s="60"/>
      <c r="G13" s="24"/>
      <c r="H13" s="24">
        <f>7.5+20</f>
        <v>27.5</v>
      </c>
      <c r="I13" s="24"/>
      <c r="J13" s="24"/>
      <c r="K13" s="24"/>
      <c r="L13" s="63">
        <f t="shared" si="0"/>
        <v>27.5</v>
      </c>
      <c r="M13" s="22"/>
      <c r="N13" s="26">
        <v>5</v>
      </c>
    </row>
    <row r="14" spans="1:14" x14ac:dyDescent="0.25">
      <c r="A14" s="32" t="s">
        <v>65</v>
      </c>
      <c r="B14" s="43"/>
      <c r="C14" s="43"/>
      <c r="D14" s="64"/>
      <c r="E14" s="24"/>
      <c r="F14" s="60"/>
      <c r="G14" s="24"/>
      <c r="H14" s="24">
        <f>23*5</f>
        <v>115</v>
      </c>
      <c r="I14" s="24"/>
      <c r="J14" s="24"/>
      <c r="K14" s="24"/>
      <c r="L14" s="63">
        <f t="shared" si="0"/>
        <v>115</v>
      </c>
      <c r="M14" s="22"/>
      <c r="N14" s="26">
        <v>748.06999999999994</v>
      </c>
    </row>
    <row r="15" spans="1:14" ht="17.25" x14ac:dyDescent="0.4">
      <c r="A15" s="29" t="s">
        <v>43</v>
      </c>
      <c r="B15" s="28" t="s">
        <v>64</v>
      </c>
      <c r="C15" s="28"/>
      <c r="D15" s="64"/>
      <c r="E15" s="24"/>
      <c r="F15" s="61"/>
      <c r="G15" s="24"/>
      <c r="H15" s="24"/>
      <c r="I15" s="24"/>
      <c r="J15" s="24"/>
      <c r="K15" s="24"/>
      <c r="L15" s="63">
        <f t="shared" si="0"/>
        <v>0</v>
      </c>
      <c r="M15" s="22"/>
      <c r="N15" s="26">
        <v>794.15</v>
      </c>
    </row>
    <row r="16" spans="1:14" x14ac:dyDescent="0.25">
      <c r="A16" s="40" t="s">
        <v>63</v>
      </c>
      <c r="B16" s="20"/>
      <c r="C16" s="20"/>
      <c r="D16" s="65">
        <f>SUM(D4:D15)</f>
        <v>14075.945</v>
      </c>
      <c r="E16" s="17">
        <f>SUM(E5:E15)</f>
        <v>0</v>
      </c>
      <c r="F16" s="17">
        <f>SUM(F5:F15)</f>
        <v>5320</v>
      </c>
      <c r="G16" s="17">
        <f>SUM(G5:G15)</f>
        <v>611.21</v>
      </c>
      <c r="H16" s="17">
        <f>SUM(H5:H15)</f>
        <v>643.5</v>
      </c>
      <c r="I16" s="17">
        <f t="shared" ref="I16:K16" si="1">SUM(I5:I15)</f>
        <v>0</v>
      </c>
      <c r="J16" s="17">
        <f t="shared" si="1"/>
        <v>0</v>
      </c>
      <c r="K16" s="17">
        <f t="shared" si="1"/>
        <v>0</v>
      </c>
      <c r="L16" s="37">
        <f>SUM(L4:L15)</f>
        <v>14897.89</v>
      </c>
      <c r="M16" s="16" t="s">
        <v>62</v>
      </c>
      <c r="N16" s="38">
        <f>SUM(N4:N15)</f>
        <v>22954.17</v>
      </c>
    </row>
    <row r="17" spans="1:15" x14ac:dyDescent="0.25">
      <c r="A17" s="33"/>
      <c r="B17" s="28"/>
      <c r="C17" s="28"/>
      <c r="D17" s="64"/>
      <c r="E17" s="23"/>
      <c r="F17" s="23"/>
      <c r="G17" s="23"/>
      <c r="H17" s="23"/>
      <c r="I17" s="23"/>
      <c r="J17" s="23"/>
      <c r="K17" s="23"/>
      <c r="L17" s="23"/>
      <c r="M17" s="22"/>
      <c r="N17" s="26"/>
      <c r="O17" s="12"/>
    </row>
    <row r="18" spans="1:15" x14ac:dyDescent="0.25">
      <c r="A18" s="228" t="s">
        <v>91</v>
      </c>
      <c r="B18" s="229"/>
      <c r="C18" s="92" t="s">
        <v>122</v>
      </c>
      <c r="D18" s="66"/>
      <c r="E18" s="3"/>
      <c r="F18" s="24"/>
      <c r="G18" s="24"/>
      <c r="H18" s="24"/>
      <c r="I18" s="24"/>
      <c r="J18" s="24"/>
      <c r="K18" s="24"/>
      <c r="L18" s="23"/>
      <c r="M18" s="30"/>
      <c r="N18" s="26"/>
    </row>
    <row r="19" spans="1:15" x14ac:dyDescent="0.25">
      <c r="A19" s="28" t="s">
        <v>60</v>
      </c>
      <c r="B19" s="28" t="s">
        <v>59</v>
      </c>
      <c r="C19" s="100"/>
      <c r="D19" s="89">
        <v>128</v>
      </c>
      <c r="E19" s="24"/>
      <c r="F19" s="24">
        <f>130</f>
        <v>130</v>
      </c>
      <c r="G19" s="24"/>
      <c r="H19" s="24"/>
      <c r="I19" s="24"/>
      <c r="J19" s="24"/>
      <c r="K19" s="24"/>
      <c r="L19" s="63">
        <f>SUM(E19:K19)</f>
        <v>130</v>
      </c>
      <c r="M19" s="30"/>
      <c r="N19" s="26">
        <v>126</v>
      </c>
    </row>
    <row r="20" spans="1:15" ht="17.25" x14ac:dyDescent="0.4">
      <c r="A20" s="33" t="s">
        <v>58</v>
      </c>
      <c r="B20" s="28" t="s">
        <v>57</v>
      </c>
      <c r="C20" s="100">
        <v>250</v>
      </c>
      <c r="D20" s="89">
        <v>250</v>
      </c>
      <c r="E20" s="24"/>
      <c r="F20" s="62"/>
      <c r="G20" s="24"/>
      <c r="H20" s="98"/>
      <c r="I20" s="98"/>
      <c r="J20" s="98"/>
      <c r="K20" s="93">
        <v>250</v>
      </c>
      <c r="L20" s="63">
        <f t="shared" ref="L20:L54" si="2">SUM(E20:K20)</f>
        <v>250</v>
      </c>
      <c r="M20" s="30"/>
      <c r="N20" s="26">
        <v>0</v>
      </c>
    </row>
    <row r="21" spans="1:15" ht="17.25" x14ac:dyDescent="0.4">
      <c r="A21" s="33"/>
      <c r="B21" s="28" t="s">
        <v>56</v>
      </c>
      <c r="C21" s="100"/>
      <c r="D21" s="89">
        <v>0</v>
      </c>
      <c r="E21" s="24"/>
      <c r="F21" s="62"/>
      <c r="G21" s="24"/>
      <c r="H21" s="24"/>
      <c r="I21" s="24"/>
      <c r="J21" s="24"/>
      <c r="K21" s="24"/>
      <c r="L21" s="63">
        <f t="shared" si="2"/>
        <v>0</v>
      </c>
      <c r="M21" s="30"/>
      <c r="N21" s="26">
        <v>0</v>
      </c>
    </row>
    <row r="22" spans="1:15" ht="17.25" x14ac:dyDescent="0.4">
      <c r="A22" s="33"/>
      <c r="B22" s="28" t="s">
        <v>55</v>
      </c>
      <c r="C22" s="100"/>
      <c r="D22" s="89">
        <v>0</v>
      </c>
      <c r="E22" s="24"/>
      <c r="F22" s="62"/>
      <c r="G22" s="24"/>
      <c r="H22" s="24"/>
      <c r="I22" s="24"/>
      <c r="J22" s="24"/>
      <c r="K22" s="24"/>
      <c r="L22" s="63">
        <f t="shared" si="2"/>
        <v>0</v>
      </c>
      <c r="M22" s="30"/>
      <c r="N22" s="26">
        <v>3855</v>
      </c>
    </row>
    <row r="23" spans="1:15" ht="17.25" x14ac:dyDescent="0.4">
      <c r="A23" s="33"/>
      <c r="B23" s="28" t="s">
        <v>54</v>
      </c>
      <c r="C23" s="100"/>
      <c r="D23" s="89">
        <v>0</v>
      </c>
      <c r="E23" s="24"/>
      <c r="F23" s="62"/>
      <c r="G23" s="24"/>
      <c r="H23" s="24"/>
      <c r="I23" s="24"/>
      <c r="J23" s="24"/>
      <c r="K23" s="24"/>
      <c r="L23" s="63">
        <f t="shared" si="2"/>
        <v>0</v>
      </c>
      <c r="M23" s="30"/>
      <c r="N23" s="26">
        <v>0</v>
      </c>
    </row>
    <row r="24" spans="1:15" ht="17.25" x14ac:dyDescent="0.4">
      <c r="A24" s="33"/>
      <c r="B24" s="28" t="s">
        <v>53</v>
      </c>
      <c r="C24" s="100">
        <v>0</v>
      </c>
      <c r="D24" s="89">
        <v>0</v>
      </c>
      <c r="E24" s="24"/>
      <c r="F24" s="62"/>
      <c r="G24" s="24"/>
      <c r="I24" s="93">
        <v>500</v>
      </c>
      <c r="J24" s="98"/>
      <c r="K24" s="98"/>
      <c r="L24" s="63">
        <f t="shared" si="2"/>
        <v>500</v>
      </c>
      <c r="M24" s="30"/>
      <c r="N24" s="26">
        <v>1325</v>
      </c>
    </row>
    <row r="25" spans="1:15" x14ac:dyDescent="0.25">
      <c r="A25" s="33" t="s">
        <v>52</v>
      </c>
      <c r="B25" s="28" t="s">
        <v>51</v>
      </c>
      <c r="C25" s="100">
        <v>250</v>
      </c>
      <c r="D25" s="89">
        <v>300</v>
      </c>
      <c r="E25" s="31"/>
      <c r="F25" s="24"/>
      <c r="G25" s="24"/>
      <c r="I25" s="98"/>
      <c r="J25" s="93">
        <v>300</v>
      </c>
      <c r="K25" s="98"/>
      <c r="L25" s="63">
        <f t="shared" si="2"/>
        <v>300</v>
      </c>
      <c r="M25" s="30"/>
      <c r="N25" s="26">
        <v>350</v>
      </c>
    </row>
    <row r="26" spans="1:15" x14ac:dyDescent="0.25">
      <c r="A26" s="33"/>
      <c r="B26" s="28" t="s">
        <v>50</v>
      </c>
      <c r="C26" s="100">
        <v>50</v>
      </c>
      <c r="D26" s="89">
        <v>50</v>
      </c>
      <c r="E26" s="31"/>
      <c r="F26" s="24"/>
      <c r="G26" s="24"/>
      <c r="I26" s="93">
        <v>50</v>
      </c>
      <c r="J26" s="98"/>
      <c r="K26" s="98"/>
      <c r="L26" s="63">
        <f t="shared" si="2"/>
        <v>50</v>
      </c>
      <c r="M26" s="30"/>
      <c r="N26" s="26">
        <v>350</v>
      </c>
    </row>
    <row r="27" spans="1:15" x14ac:dyDescent="0.25">
      <c r="A27" s="33"/>
      <c r="B27" s="28" t="s">
        <v>49</v>
      </c>
      <c r="C27" s="100">
        <v>175</v>
      </c>
      <c r="D27" s="89">
        <v>200</v>
      </c>
      <c r="E27" s="31"/>
      <c r="F27" s="24"/>
      <c r="G27" s="24"/>
      <c r="I27" s="98"/>
      <c r="J27" s="93">
        <v>200</v>
      </c>
      <c r="K27" s="98"/>
      <c r="L27" s="63">
        <f t="shared" si="2"/>
        <v>200</v>
      </c>
      <c r="M27" s="30"/>
      <c r="N27" s="26">
        <v>200</v>
      </c>
    </row>
    <row r="28" spans="1:15" x14ac:dyDescent="0.25">
      <c r="A28" s="33"/>
      <c r="B28" s="28" t="s">
        <v>48</v>
      </c>
      <c r="C28" s="100">
        <v>100</v>
      </c>
      <c r="D28" s="89">
        <v>100</v>
      </c>
      <c r="E28" s="31"/>
      <c r="F28" s="24"/>
      <c r="G28" s="24">
        <v>100</v>
      </c>
      <c r="H28" s="98"/>
      <c r="I28" s="98"/>
      <c r="J28" s="98"/>
      <c r="K28" s="98"/>
      <c r="L28" s="63">
        <f t="shared" si="2"/>
        <v>100</v>
      </c>
      <c r="M28" s="30"/>
      <c r="N28" s="26">
        <v>50</v>
      </c>
    </row>
    <row r="29" spans="1:15" x14ac:dyDescent="0.25">
      <c r="A29" s="33"/>
      <c r="B29" s="28" t="s">
        <v>47</v>
      </c>
      <c r="C29" s="100">
        <v>0</v>
      </c>
      <c r="D29" s="89">
        <v>200</v>
      </c>
      <c r="E29" s="31"/>
      <c r="F29" s="24"/>
      <c r="G29" s="24"/>
      <c r="H29" s="98"/>
      <c r="I29" s="98"/>
      <c r="J29" s="98"/>
      <c r="K29" s="93">
        <v>200</v>
      </c>
      <c r="L29" s="63">
        <f t="shared" si="2"/>
        <v>200</v>
      </c>
      <c r="M29" s="30"/>
      <c r="N29" s="26">
        <v>0</v>
      </c>
    </row>
    <row r="30" spans="1:15" x14ac:dyDescent="0.25">
      <c r="A30" s="28" t="s">
        <v>46</v>
      </c>
      <c r="B30" s="28" t="s">
        <v>45</v>
      </c>
      <c r="C30" s="100"/>
      <c r="D30" s="89">
        <v>330</v>
      </c>
      <c r="E30" s="31"/>
      <c r="F30" s="24">
        <f>expenditure!H8</f>
        <v>0</v>
      </c>
      <c r="G30" s="24"/>
      <c r="H30" s="24"/>
      <c r="I30" s="24"/>
      <c r="J30" s="24"/>
      <c r="K30" s="24"/>
      <c r="L30" s="63">
        <f t="shared" si="2"/>
        <v>0</v>
      </c>
      <c r="M30" s="30"/>
      <c r="N30" s="26">
        <v>309.82</v>
      </c>
    </row>
    <row r="31" spans="1:15" x14ac:dyDescent="0.25">
      <c r="A31" s="28"/>
      <c r="B31" s="28" t="s">
        <v>44</v>
      </c>
      <c r="C31" s="100">
        <v>481</v>
      </c>
      <c r="D31" s="89">
        <f>423+31</f>
        <v>454</v>
      </c>
      <c r="E31" s="31"/>
      <c r="F31" s="24">
        <f>expenditure!G8</f>
        <v>0</v>
      </c>
      <c r="G31" s="24"/>
      <c r="H31" s="24"/>
      <c r="I31" s="24"/>
      <c r="J31" s="24"/>
      <c r="K31" s="24"/>
      <c r="L31" s="63">
        <f t="shared" si="2"/>
        <v>0</v>
      </c>
      <c r="M31" s="30"/>
      <c r="N31" s="26">
        <v>423.07</v>
      </c>
    </row>
    <row r="32" spans="1:15" x14ac:dyDescent="0.25">
      <c r="A32" s="28"/>
      <c r="B32" s="28" t="s">
        <v>43</v>
      </c>
      <c r="C32" s="101">
        <v>172</v>
      </c>
      <c r="D32" s="89">
        <f>151+5</f>
        <v>156</v>
      </c>
      <c r="E32" s="31"/>
      <c r="F32" s="24">
        <f>expenditure!K8</f>
        <v>0</v>
      </c>
      <c r="G32" s="24"/>
      <c r="H32" s="24"/>
      <c r="I32" s="24"/>
      <c r="J32" s="24"/>
      <c r="K32" s="24"/>
      <c r="L32" s="63">
        <f t="shared" si="2"/>
        <v>0</v>
      </c>
      <c r="M32" s="30"/>
      <c r="N32" s="26">
        <v>150.52000000000001</v>
      </c>
    </row>
    <row r="33" spans="1:14" x14ac:dyDescent="0.25">
      <c r="A33" s="28" t="s">
        <v>42</v>
      </c>
      <c r="B33" s="28" t="s">
        <v>41</v>
      </c>
      <c r="C33" s="100"/>
      <c r="D33" s="89">
        <v>1823</v>
      </c>
      <c r="E33" s="31"/>
      <c r="F33" s="24">
        <f>expenditure!J14</f>
        <v>0</v>
      </c>
      <c r="G33" s="24">
        <v>250</v>
      </c>
      <c r="H33" s="95">
        <v>418</v>
      </c>
      <c r="I33" s="95">
        <f>153*2</f>
        <v>306</v>
      </c>
      <c r="J33" s="93">
        <v>306</v>
      </c>
      <c r="K33" s="98"/>
      <c r="L33" s="63">
        <f t="shared" si="2"/>
        <v>1280</v>
      </c>
      <c r="M33" s="34"/>
      <c r="N33" s="26">
        <v>625</v>
      </c>
    </row>
    <row r="34" spans="1:14" x14ac:dyDescent="0.25">
      <c r="A34" s="33"/>
      <c r="B34" s="28" t="s">
        <v>40</v>
      </c>
      <c r="C34" s="100"/>
      <c r="D34" s="89">
        <v>60</v>
      </c>
      <c r="E34" s="31"/>
      <c r="F34" s="24">
        <f>59.95</f>
        <v>59.95</v>
      </c>
      <c r="G34" s="24"/>
      <c r="H34" s="24"/>
      <c r="I34" s="24"/>
      <c r="J34" s="24"/>
      <c r="K34" s="24"/>
      <c r="L34" s="63">
        <f t="shared" si="2"/>
        <v>59.95</v>
      </c>
      <c r="M34" s="34"/>
      <c r="N34" s="26">
        <v>59.95</v>
      </c>
    </row>
    <row r="35" spans="1:14" x14ac:dyDescent="0.25">
      <c r="A35" s="28"/>
      <c r="B35" s="28" t="s">
        <v>39</v>
      </c>
      <c r="D35" s="89">
        <v>100</v>
      </c>
      <c r="E35" s="31"/>
      <c r="F35" s="24"/>
      <c r="G35" s="24">
        <f>expenditure!J24</f>
        <v>0</v>
      </c>
      <c r="H35" s="93">
        <v>100</v>
      </c>
      <c r="I35" s="93">
        <v>60</v>
      </c>
      <c r="J35" s="98"/>
      <c r="K35" s="98"/>
      <c r="L35" s="63">
        <f t="shared" si="2"/>
        <v>160</v>
      </c>
      <c r="M35" s="34"/>
      <c r="N35" s="26">
        <v>230.95</v>
      </c>
    </row>
    <row r="36" spans="1:14" x14ac:dyDescent="0.25">
      <c r="A36" s="28"/>
      <c r="B36" s="28" t="s">
        <v>38</v>
      </c>
      <c r="C36" s="100"/>
      <c r="D36" s="89">
        <v>0</v>
      </c>
      <c r="E36" s="31"/>
      <c r="F36" s="24"/>
      <c r="G36" s="24"/>
      <c r="H36" s="24"/>
      <c r="I36" s="24"/>
      <c r="J36" s="24"/>
      <c r="K36" s="24"/>
      <c r="L36" s="63">
        <f t="shared" si="2"/>
        <v>0</v>
      </c>
      <c r="M36" s="34"/>
      <c r="N36" s="26">
        <v>600</v>
      </c>
    </row>
    <row r="37" spans="1:14" x14ac:dyDescent="0.25">
      <c r="A37" s="33"/>
      <c r="B37" s="28" t="s">
        <v>37</v>
      </c>
      <c r="C37" s="99">
        <v>355</v>
      </c>
      <c r="D37" s="89">
        <v>355</v>
      </c>
      <c r="E37" s="31"/>
      <c r="F37" s="24"/>
      <c r="G37" s="24"/>
      <c r="H37" s="98"/>
      <c r="I37" s="98"/>
      <c r="J37" s="98"/>
      <c r="K37" s="93">
        <v>355</v>
      </c>
      <c r="L37" s="63">
        <f t="shared" si="2"/>
        <v>355</v>
      </c>
      <c r="M37" s="34"/>
      <c r="N37" s="26">
        <v>1755</v>
      </c>
    </row>
    <row r="38" spans="1:14" x14ac:dyDescent="0.25">
      <c r="A38" s="28" t="s">
        <v>36</v>
      </c>
      <c r="B38" s="28" t="s">
        <v>35</v>
      </c>
      <c r="C38" s="100"/>
      <c r="D38" s="89">
        <v>1883</v>
      </c>
      <c r="E38" s="45">
        <v>158.01</v>
      </c>
      <c r="F38" s="24">
        <f>expenditure!M5</f>
        <v>0</v>
      </c>
      <c r="G38" s="24"/>
      <c r="H38" s="95">
        <v>379.22</v>
      </c>
      <c r="I38" s="98"/>
      <c r="J38" s="93">
        <v>379.22</v>
      </c>
      <c r="K38" s="93">
        <v>379.22</v>
      </c>
      <c r="L38" s="63">
        <f t="shared" si="2"/>
        <v>1295.67</v>
      </c>
      <c r="M38" s="34"/>
      <c r="N38" s="26">
        <v>1876.43</v>
      </c>
    </row>
    <row r="39" spans="1:14" x14ac:dyDescent="0.25">
      <c r="A39" s="33"/>
      <c r="B39" s="28" t="s">
        <v>34</v>
      </c>
      <c r="C39" s="100"/>
      <c r="D39" s="89">
        <v>80</v>
      </c>
      <c r="E39" s="31"/>
      <c r="F39" s="24"/>
      <c r="G39" s="24"/>
      <c r="H39" s="93">
        <v>40</v>
      </c>
      <c r="I39" s="98"/>
      <c r="J39" s="98"/>
      <c r="K39" s="93">
        <v>40</v>
      </c>
      <c r="L39" s="63">
        <f t="shared" si="2"/>
        <v>80</v>
      </c>
      <c r="M39" s="30"/>
      <c r="N39" s="26">
        <v>80</v>
      </c>
    </row>
    <row r="40" spans="1:14" x14ac:dyDescent="0.25">
      <c r="A40" s="33" t="s">
        <v>94</v>
      </c>
      <c r="B40" s="28" t="s">
        <v>93</v>
      </c>
      <c r="C40" s="100"/>
      <c r="D40" s="89">
        <v>0</v>
      </c>
      <c r="E40" s="31"/>
      <c r="F40" s="24">
        <f>expenditure!N7</f>
        <v>0</v>
      </c>
      <c r="G40" s="24"/>
      <c r="H40" s="95">
        <v>94.81</v>
      </c>
      <c r="I40" s="98"/>
      <c r="J40" s="93">
        <v>94.81</v>
      </c>
      <c r="K40" s="93">
        <v>94.81</v>
      </c>
      <c r="L40" s="63">
        <f t="shared" si="2"/>
        <v>284.43</v>
      </c>
      <c r="M40" s="30"/>
      <c r="N40" s="26"/>
    </row>
    <row r="41" spans="1:14" x14ac:dyDescent="0.25">
      <c r="A41" s="28" t="s">
        <v>33</v>
      </c>
      <c r="B41" s="28" t="s">
        <v>32</v>
      </c>
      <c r="C41" s="100"/>
      <c r="D41" s="89">
        <v>100</v>
      </c>
      <c r="E41" s="31"/>
      <c r="F41" s="24"/>
      <c r="G41" s="24">
        <v>100</v>
      </c>
      <c r="H41" s="24"/>
      <c r="I41" s="24"/>
      <c r="J41" s="24"/>
      <c r="K41" s="24"/>
      <c r="L41" s="63">
        <f t="shared" si="2"/>
        <v>100</v>
      </c>
      <c r="M41" s="30"/>
      <c r="N41" s="26">
        <v>100</v>
      </c>
    </row>
    <row r="42" spans="1:14" x14ac:dyDescent="0.25">
      <c r="A42" s="28"/>
      <c r="B42" s="28" t="s">
        <v>119</v>
      </c>
      <c r="C42" s="100"/>
      <c r="D42" s="89">
        <v>100</v>
      </c>
      <c r="E42" s="31"/>
      <c r="F42" s="24">
        <f>1.24+6.48+13.41+3.47+expenditure!H11</f>
        <v>1116.58</v>
      </c>
      <c r="G42" s="24">
        <v>15</v>
      </c>
      <c r="H42" s="94"/>
      <c r="I42" s="93"/>
      <c r="J42" s="94"/>
      <c r="K42" s="94">
        <v>54</v>
      </c>
      <c r="L42" s="63">
        <f t="shared" si="2"/>
        <v>1185.58</v>
      </c>
      <c r="M42" s="30"/>
      <c r="N42" s="26">
        <v>18.91</v>
      </c>
    </row>
    <row r="43" spans="1:14" x14ac:dyDescent="0.25">
      <c r="A43" s="28"/>
      <c r="B43" s="28" t="s">
        <v>30</v>
      </c>
      <c r="C43" s="100">
        <v>0</v>
      </c>
      <c r="D43" s="89">
        <v>75</v>
      </c>
      <c r="E43" s="31"/>
      <c r="F43" s="24"/>
      <c r="G43" s="24"/>
      <c r="H43" s="93"/>
      <c r="I43" s="93"/>
      <c r="J43" s="93"/>
      <c r="K43" s="93">
        <v>150</v>
      </c>
      <c r="L43" s="63">
        <f t="shared" si="2"/>
        <v>150</v>
      </c>
      <c r="M43" s="30"/>
      <c r="N43" s="26">
        <v>30</v>
      </c>
    </row>
    <row r="44" spans="1:14" x14ac:dyDescent="0.25">
      <c r="A44" s="28" t="s">
        <v>29</v>
      </c>
      <c r="B44" s="28" t="s">
        <v>28</v>
      </c>
      <c r="C44" s="100"/>
      <c r="D44" s="89">
        <v>80</v>
      </c>
      <c r="E44" s="31"/>
      <c r="F44" s="24">
        <v>36.49</v>
      </c>
      <c r="G44" s="24"/>
      <c r="I44" s="93">
        <v>36</v>
      </c>
      <c r="J44" s="93"/>
      <c r="K44" s="93">
        <v>8</v>
      </c>
      <c r="L44" s="63">
        <f t="shared" si="2"/>
        <v>80.490000000000009</v>
      </c>
      <c r="M44" s="30"/>
      <c r="N44" s="26">
        <v>32.06</v>
      </c>
    </row>
    <row r="45" spans="1:14" x14ac:dyDescent="0.25">
      <c r="A45" s="28"/>
      <c r="B45" s="28" t="s">
        <v>27</v>
      </c>
      <c r="C45" s="100"/>
      <c r="D45" s="89">
        <v>0</v>
      </c>
      <c r="E45" s="31"/>
      <c r="F45" s="24"/>
      <c r="G45" s="24"/>
      <c r="H45" s="24"/>
      <c r="I45" s="24"/>
      <c r="J45" s="24"/>
      <c r="K45" s="24"/>
      <c r="L45" s="63">
        <f t="shared" si="2"/>
        <v>0</v>
      </c>
      <c r="M45" s="30"/>
      <c r="N45" s="26">
        <v>99.99</v>
      </c>
    </row>
    <row r="46" spans="1:14" x14ac:dyDescent="0.25">
      <c r="A46" s="28" t="s">
        <v>26</v>
      </c>
      <c r="B46" s="32"/>
      <c r="C46" s="102"/>
      <c r="D46" s="90">
        <v>105</v>
      </c>
      <c r="E46" s="31"/>
      <c r="F46" s="24">
        <v>14</v>
      </c>
      <c r="G46" s="24"/>
      <c r="I46" s="93">
        <v>14</v>
      </c>
      <c r="J46" s="93">
        <v>14</v>
      </c>
      <c r="K46" s="93">
        <v>14</v>
      </c>
      <c r="L46" s="63">
        <f t="shared" si="2"/>
        <v>56</v>
      </c>
      <c r="M46" s="30"/>
      <c r="N46" s="26">
        <v>42</v>
      </c>
    </row>
    <row r="47" spans="1:14" x14ac:dyDescent="0.25">
      <c r="A47" s="28" t="s">
        <v>25</v>
      </c>
      <c r="B47" s="28"/>
      <c r="D47" s="89">
        <f>80*4</f>
        <v>320</v>
      </c>
      <c r="E47" s="31"/>
      <c r="F47" s="24"/>
      <c r="G47" s="24">
        <f>79.94</f>
        <v>79.94</v>
      </c>
      <c r="H47" s="93">
        <v>80</v>
      </c>
      <c r="I47" s="98"/>
      <c r="J47" s="93">
        <v>80</v>
      </c>
      <c r="K47" s="93">
        <v>80</v>
      </c>
      <c r="L47" s="63">
        <f t="shared" si="2"/>
        <v>319.94</v>
      </c>
      <c r="M47" s="30"/>
      <c r="N47" s="26">
        <v>287.02999999999997</v>
      </c>
    </row>
    <row r="48" spans="1:14" x14ac:dyDescent="0.25">
      <c r="A48" s="28" t="s">
        <v>24</v>
      </c>
      <c r="B48" s="28" t="s">
        <v>23</v>
      </c>
      <c r="C48" s="100"/>
      <c r="D48" s="89">
        <v>500</v>
      </c>
      <c r="E48" s="31"/>
      <c r="F48" s="24"/>
      <c r="G48" s="24"/>
      <c r="H48" s="98"/>
      <c r="I48" s="98"/>
      <c r="J48" s="98"/>
      <c r="K48" s="93">
        <v>500</v>
      </c>
      <c r="L48" s="63">
        <f t="shared" si="2"/>
        <v>500</v>
      </c>
      <c r="M48" s="30"/>
      <c r="N48" s="26">
        <v>669</v>
      </c>
    </row>
    <row r="49" spans="1:14" x14ac:dyDescent="0.25">
      <c r="A49" s="28" t="s">
        <v>22</v>
      </c>
      <c r="B49" s="28"/>
      <c r="C49" s="100"/>
      <c r="D49" s="89">
        <v>35</v>
      </c>
      <c r="E49" s="31"/>
      <c r="F49" s="24"/>
      <c r="G49" s="24">
        <v>35</v>
      </c>
      <c r="H49" s="24"/>
      <c r="I49" s="24"/>
      <c r="J49" s="24"/>
      <c r="K49" s="24"/>
      <c r="L49" s="63">
        <f t="shared" si="2"/>
        <v>35</v>
      </c>
      <c r="M49" s="30"/>
      <c r="N49" s="26">
        <v>35</v>
      </c>
    </row>
    <row r="50" spans="1:14" x14ac:dyDescent="0.25">
      <c r="A50" s="28" t="s">
        <v>21</v>
      </c>
      <c r="B50" s="28" t="s">
        <v>20</v>
      </c>
      <c r="C50" s="100"/>
      <c r="D50" s="89">
        <v>100</v>
      </c>
      <c r="E50" s="31"/>
      <c r="F50" s="24"/>
      <c r="G50" s="24"/>
      <c r="H50" s="93">
        <v>100</v>
      </c>
      <c r="I50" s="98"/>
      <c r="J50" s="98"/>
      <c r="K50" s="99"/>
      <c r="L50" s="63">
        <f>SUM(E50:J50)</f>
        <v>100</v>
      </c>
      <c r="M50" s="30"/>
      <c r="N50" s="26">
        <v>78.069999999999993</v>
      </c>
    </row>
    <row r="51" spans="1:14" x14ac:dyDescent="0.25">
      <c r="A51" s="29" t="s">
        <v>19</v>
      </c>
      <c r="B51" s="29" t="s">
        <v>18</v>
      </c>
      <c r="C51" s="103"/>
      <c r="D51" s="90">
        <v>0</v>
      </c>
      <c r="E51" s="31"/>
      <c r="F51" s="24" t="e">
        <f>expenditure!#REF!+expenditure!R14</f>
        <v>#REF!</v>
      </c>
      <c r="G51" s="24" t="e">
        <f>expenditure!R24+expenditure!#REF!+expenditure!R25</f>
        <v>#REF!</v>
      </c>
      <c r="H51" s="93">
        <v>83.6</v>
      </c>
      <c r="I51" s="93">
        <f>30.6*2</f>
        <v>61.2</v>
      </c>
      <c r="J51" s="93">
        <f>30.6*2</f>
        <v>61.2</v>
      </c>
      <c r="K51" s="93"/>
      <c r="L51" s="63" t="e">
        <f t="shared" si="2"/>
        <v>#REF!</v>
      </c>
      <c r="M51" s="30"/>
      <c r="N51" s="26">
        <v>466.35</v>
      </c>
    </row>
    <row r="52" spans="1:14" x14ac:dyDescent="0.25">
      <c r="A52" s="29" t="s">
        <v>17</v>
      </c>
      <c r="B52" s="29"/>
      <c r="C52" s="103"/>
      <c r="D52" s="90">
        <v>0</v>
      </c>
      <c r="E52" s="31"/>
      <c r="F52" s="24"/>
      <c r="G52" s="24"/>
      <c r="H52" s="94">
        <v>239</v>
      </c>
      <c r="I52" s="98"/>
      <c r="J52" s="98"/>
      <c r="K52" s="98"/>
      <c r="L52" s="63">
        <f t="shared" si="2"/>
        <v>239</v>
      </c>
      <c r="M52" s="30"/>
      <c r="N52" s="26">
        <v>0</v>
      </c>
    </row>
    <row r="53" spans="1:14" x14ac:dyDescent="0.25">
      <c r="A53" s="29" t="s">
        <v>16</v>
      </c>
      <c r="B53" s="29" t="s">
        <v>118</v>
      </c>
      <c r="C53" s="103">
        <v>0</v>
      </c>
      <c r="D53" s="90">
        <v>12</v>
      </c>
      <c r="E53" s="31"/>
      <c r="F53" s="24"/>
      <c r="G53" s="24"/>
      <c r="H53" s="98"/>
      <c r="I53" s="98"/>
      <c r="J53" s="98"/>
      <c r="K53" s="93">
        <v>12</v>
      </c>
      <c r="L53" s="63">
        <f t="shared" si="2"/>
        <v>12</v>
      </c>
      <c r="M53" s="30"/>
      <c r="N53" s="26">
        <v>405.84000000000003</v>
      </c>
    </row>
    <row r="54" spans="1:14" x14ac:dyDescent="0.25">
      <c r="A54" s="28" t="s">
        <v>14</v>
      </c>
      <c r="B54" s="28"/>
      <c r="C54" s="100">
        <v>250</v>
      </c>
      <c r="D54" s="89">
        <v>500</v>
      </c>
      <c r="E54" s="31"/>
      <c r="F54" s="24"/>
      <c r="G54" s="24"/>
      <c r="H54" s="98"/>
      <c r="I54" s="98"/>
      <c r="J54" s="98"/>
      <c r="K54" s="98"/>
      <c r="L54" s="63">
        <f t="shared" si="2"/>
        <v>0</v>
      </c>
      <c r="M54" s="22"/>
      <c r="N54" s="26">
        <v>0</v>
      </c>
    </row>
    <row r="55" spans="1:14" x14ac:dyDescent="0.25">
      <c r="A55" s="21" t="s">
        <v>13</v>
      </c>
      <c r="B55" s="20"/>
      <c r="C55" s="20">
        <f>SUM(C19:C54)</f>
        <v>2083</v>
      </c>
      <c r="D55" s="91">
        <f>SUM(D19:D54)</f>
        <v>8396</v>
      </c>
      <c r="E55" s="17">
        <f>SUM(E19:E54)</f>
        <v>158.01</v>
      </c>
      <c r="F55" s="17" t="e">
        <f t="shared" ref="F55:H55" si="3">SUM(F19:F54)</f>
        <v>#REF!</v>
      </c>
      <c r="G55" s="17" t="e">
        <f>SUM(G19:G54)</f>
        <v>#REF!</v>
      </c>
      <c r="H55" s="17">
        <f t="shared" si="3"/>
        <v>1534.6299999999999</v>
      </c>
      <c r="I55" s="17">
        <f>SUM(I19:I54)</f>
        <v>1027.2</v>
      </c>
      <c r="J55" s="17">
        <f>SUM(J19:J54)</f>
        <v>1435.23</v>
      </c>
      <c r="K55" s="17">
        <f>SUM(K19:K54)</f>
        <v>2137.0299999999997</v>
      </c>
      <c r="L55" s="96" t="e">
        <f>SUM(E55:K55)</f>
        <v>#REF!</v>
      </c>
      <c r="M55" s="16"/>
      <c r="N55" s="18">
        <v>14630.99</v>
      </c>
    </row>
    <row r="56" spans="1:14" x14ac:dyDescent="0.25">
      <c r="A56" s="15" t="s">
        <v>120</v>
      </c>
      <c r="B56" s="14"/>
      <c r="C56" s="14"/>
      <c r="D56" s="14"/>
      <c r="E56" s="12"/>
      <c r="N56" s="13"/>
    </row>
    <row r="57" spans="1:14" x14ac:dyDescent="0.25">
      <c r="A57" s="10" t="s">
        <v>96</v>
      </c>
      <c r="B57" s="67">
        <f>D4</f>
        <v>8323.18</v>
      </c>
      <c r="C57" s="67"/>
      <c r="D57" s="9"/>
      <c r="N57" s="12"/>
    </row>
    <row r="58" spans="1:14" x14ac:dyDescent="0.25">
      <c r="A58" s="10" t="s">
        <v>10</v>
      </c>
      <c r="B58" s="67">
        <f>L16-L4</f>
        <v>6574.7099999999991</v>
      </c>
      <c r="C58" s="67"/>
      <c r="D58" s="9"/>
    </row>
    <row r="59" spans="1:14" x14ac:dyDescent="0.25">
      <c r="A59" s="10" t="s">
        <v>9</v>
      </c>
      <c r="B59" s="67" t="e">
        <f>L55</f>
        <v>#REF!</v>
      </c>
      <c r="C59" s="67"/>
      <c r="D59" s="9"/>
      <c r="J59" s="12"/>
      <c r="N59" s="4"/>
    </row>
    <row r="60" spans="1:14" ht="17.25" x14ac:dyDescent="0.4">
      <c r="A60" s="10" t="s">
        <v>8</v>
      </c>
      <c r="B60" s="68" t="e">
        <f>B57+B58-B59</f>
        <v>#REF!</v>
      </c>
      <c r="C60" s="68"/>
      <c r="D60" s="5"/>
      <c r="E60" s="4"/>
      <c r="F60" s="59" t="e">
        <f>B60-F62</f>
        <v>#REF!</v>
      </c>
    </row>
    <row r="61" spans="1:14" x14ac:dyDescent="0.25">
      <c r="A61" s="15" t="s">
        <v>121</v>
      </c>
      <c r="B61" s="67"/>
      <c r="C61" s="67">
        <f>1294.78</f>
        <v>1294.78</v>
      </c>
      <c r="D61" s="9"/>
      <c r="F61" s="59"/>
    </row>
    <row r="62" spans="1:14" x14ac:dyDescent="0.25">
      <c r="A62" s="10" t="s">
        <v>6</v>
      </c>
      <c r="B62" s="67">
        <v>4285.25</v>
      </c>
      <c r="C62" s="67" t="e">
        <f>B60-C61</f>
        <v>#REF!</v>
      </c>
      <c r="D62" s="9"/>
      <c r="F62" s="1">
        <f>B64-H52</f>
        <v>1055.78</v>
      </c>
      <c r="I62" s="97" t="e">
        <f>#REF!-#REF!</f>
        <v>#REF!</v>
      </c>
    </row>
    <row r="63" spans="1:14" x14ac:dyDescent="0.25">
      <c r="A63" s="10" t="s">
        <v>5</v>
      </c>
      <c r="B63" s="67">
        <v>5721.64</v>
      </c>
      <c r="C63" s="67"/>
      <c r="D63" s="9"/>
      <c r="N63" s="4"/>
    </row>
    <row r="64" spans="1:14" x14ac:dyDescent="0.25">
      <c r="A64" s="10" t="s">
        <v>95</v>
      </c>
      <c r="B64" s="67">
        <f>1533.78-H52</f>
        <v>1294.78</v>
      </c>
      <c r="C64" s="67"/>
      <c r="D64" s="9"/>
      <c r="J64" s="2"/>
      <c r="N64" s="4"/>
    </row>
    <row r="65" spans="1:14" ht="17.25" x14ac:dyDescent="0.4">
      <c r="A65" s="4"/>
      <c r="B65" s="68">
        <f>SUM(B62:B64)</f>
        <v>11301.67</v>
      </c>
      <c r="C65" s="68"/>
      <c r="D65" s="5"/>
      <c r="N65" s="4"/>
    </row>
    <row r="66" spans="1:14" x14ac:dyDescent="0.25">
      <c r="B66" s="3"/>
      <c r="C66" s="3"/>
      <c r="D66" s="3"/>
    </row>
    <row r="67" spans="1:14" ht="17.25" x14ac:dyDescent="0.4">
      <c r="A67" s="8"/>
      <c r="B67" s="88"/>
      <c r="C67" s="88"/>
      <c r="D67" s="7"/>
    </row>
    <row r="68" spans="1:14" x14ac:dyDescent="0.25">
      <c r="B68" s="3"/>
      <c r="C68" s="3"/>
      <c r="D68" s="3"/>
    </row>
    <row r="69" spans="1:14" x14ac:dyDescent="0.25">
      <c r="A69" s="6"/>
      <c r="B69" s="5"/>
      <c r="C69" s="5"/>
      <c r="D69" s="5"/>
      <c r="E69" s="4"/>
    </row>
    <row r="70" spans="1:14" x14ac:dyDescent="0.25">
      <c r="B70" s="3"/>
      <c r="C70" s="3"/>
      <c r="D70" s="3"/>
      <c r="H70" s="2"/>
    </row>
    <row r="71" spans="1:14" x14ac:dyDescent="0.25">
      <c r="H71" s="2"/>
    </row>
  </sheetData>
  <mergeCells count="1">
    <mergeCell ref="A18:B18"/>
  </mergeCells>
  <pageMargins left="0.7" right="0.7" top="0.75" bottom="0.75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5"/>
  <sheetViews>
    <sheetView topLeftCell="A12" workbookViewId="0">
      <selection activeCell="N20" sqref="N20"/>
    </sheetView>
  </sheetViews>
  <sheetFormatPr defaultRowHeight="15" x14ac:dyDescent="0.25"/>
  <sheetData>
    <row r="3" spans="2:16" x14ac:dyDescent="0.25">
      <c r="B3">
        <v>3.78</v>
      </c>
      <c r="P3">
        <v>17</v>
      </c>
    </row>
    <row r="4" spans="2:16" x14ac:dyDescent="0.25">
      <c r="B4">
        <v>7.56</v>
      </c>
      <c r="P4">
        <v>3.78</v>
      </c>
    </row>
    <row r="5" spans="2:16" x14ac:dyDescent="0.25">
      <c r="B5">
        <v>0.95</v>
      </c>
      <c r="L5">
        <v>379.23</v>
      </c>
      <c r="M5">
        <v>379.23</v>
      </c>
      <c r="P5">
        <v>7.56</v>
      </c>
    </row>
    <row r="6" spans="2:16" x14ac:dyDescent="0.25">
      <c r="B6">
        <v>0.95</v>
      </c>
      <c r="L6">
        <v>94.8</v>
      </c>
      <c r="M6">
        <v>94.8</v>
      </c>
      <c r="P6">
        <v>0.95</v>
      </c>
    </row>
    <row r="7" spans="2:16" x14ac:dyDescent="0.25">
      <c r="B7">
        <v>7.56</v>
      </c>
      <c r="L7">
        <v>152.5</v>
      </c>
      <c r="M7">
        <v>152.5</v>
      </c>
      <c r="P7">
        <v>0.95</v>
      </c>
    </row>
    <row r="8" spans="2:16" x14ac:dyDescent="0.25">
      <c r="B8">
        <v>40</v>
      </c>
      <c r="L8">
        <v>685.2</v>
      </c>
      <c r="M8">
        <v>685.2</v>
      </c>
      <c r="P8">
        <v>7.56</v>
      </c>
    </row>
    <row r="9" spans="2:16" x14ac:dyDescent="0.25">
      <c r="B9">
        <v>78.37</v>
      </c>
      <c r="L9">
        <v>17</v>
      </c>
      <c r="M9">
        <v>17</v>
      </c>
      <c r="P9">
        <v>13.33</v>
      </c>
    </row>
    <row r="10" spans="2:16" x14ac:dyDescent="0.25">
      <c r="B10">
        <v>13.33</v>
      </c>
      <c r="L10">
        <v>79.94</v>
      </c>
      <c r="M10">
        <v>183.72</v>
      </c>
      <c r="P10">
        <f>SUM(P3:P9)</f>
        <v>51.129999999999995</v>
      </c>
    </row>
    <row r="11" spans="2:16" x14ac:dyDescent="0.25">
      <c r="B11">
        <f>SUM(B3:B10)</f>
        <v>152.50000000000003</v>
      </c>
      <c r="L11">
        <v>183.72</v>
      </c>
      <c r="M11">
        <v>79.94</v>
      </c>
    </row>
    <row r="12" spans="2:16" x14ac:dyDescent="0.25">
      <c r="L12">
        <f>SUM(L5:L11)</f>
        <v>1592.39</v>
      </c>
      <c r="M12">
        <f>SUM(M5:M11)</f>
        <v>1592.39</v>
      </c>
    </row>
    <row r="15" spans="2:16" x14ac:dyDescent="0.25">
      <c r="H15">
        <f>39.95/3</f>
        <v>13.316666666666668</v>
      </c>
    </row>
    <row r="17" spans="11:14" x14ac:dyDescent="0.25">
      <c r="K17" s="143">
        <v>2013</v>
      </c>
      <c r="N17">
        <f>1933+80</f>
        <v>2013</v>
      </c>
    </row>
    <row r="18" spans="11:14" ht="28.5" x14ac:dyDescent="0.25">
      <c r="K18" s="144" t="s">
        <v>136</v>
      </c>
      <c r="N18" s="146">
        <v>640</v>
      </c>
    </row>
    <row r="19" spans="11:14" ht="28.5" x14ac:dyDescent="0.25">
      <c r="K19" s="144" t="s">
        <v>25</v>
      </c>
      <c r="N19" s="146">
        <v>240</v>
      </c>
    </row>
    <row r="20" spans="11:14" ht="28.5" x14ac:dyDescent="0.25">
      <c r="K20" s="144" t="s">
        <v>46</v>
      </c>
      <c r="N20" s="146">
        <v>1005</v>
      </c>
    </row>
    <row r="21" spans="11:14" x14ac:dyDescent="0.25">
      <c r="K21" s="144" t="s">
        <v>105</v>
      </c>
      <c r="N21" s="146">
        <v>250</v>
      </c>
    </row>
    <row r="22" spans="11:14" ht="28.5" x14ac:dyDescent="0.25">
      <c r="K22" s="144" t="s">
        <v>42</v>
      </c>
      <c r="N22" s="146">
        <v>2340</v>
      </c>
    </row>
    <row r="23" spans="11:14" ht="28.5" x14ac:dyDescent="0.25">
      <c r="K23" s="144" t="s">
        <v>137</v>
      </c>
      <c r="N23" s="146">
        <v>575</v>
      </c>
    </row>
    <row r="24" spans="11:14" ht="28.5" x14ac:dyDescent="0.25">
      <c r="K24" s="144" t="s">
        <v>14</v>
      </c>
      <c r="N24" s="146">
        <v>250</v>
      </c>
    </row>
    <row r="25" spans="11:14" x14ac:dyDescent="0.25">
      <c r="N25" s="145">
        <f>SUM(N17:N24)</f>
        <v>7313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opLeftCell="B54" zoomScale="115" zoomScaleNormal="115" workbookViewId="0">
      <selection activeCell="L61" sqref="L61"/>
    </sheetView>
  </sheetViews>
  <sheetFormatPr defaultColWidth="24.28515625" defaultRowHeight="15" x14ac:dyDescent="0.25"/>
  <cols>
    <col min="1" max="1" width="57.7109375" bestFit="1" customWidth="1"/>
    <col min="2" max="2" width="21.42578125" bestFit="1" customWidth="1"/>
    <col min="3" max="3" width="12.28515625" bestFit="1" customWidth="1"/>
    <col min="4" max="4" width="12.28515625" customWidth="1"/>
    <col min="5" max="5" width="11.5703125" bestFit="1" customWidth="1"/>
    <col min="6" max="6" width="11.28515625" bestFit="1" customWidth="1"/>
    <col min="7" max="7" width="9.28515625" bestFit="1" customWidth="1"/>
    <col min="8" max="8" width="9.5703125" bestFit="1" customWidth="1"/>
    <col min="9" max="11" width="8.42578125" bestFit="1" customWidth="1"/>
    <col min="12" max="12" width="12.5703125" bestFit="1" customWidth="1"/>
    <col min="13" max="13" width="24.5703125" bestFit="1" customWidth="1"/>
  </cols>
  <sheetData>
    <row r="1" spans="1:13" x14ac:dyDescent="0.25">
      <c r="A1" s="58" t="s">
        <v>86</v>
      </c>
    </row>
    <row r="2" spans="1:13" x14ac:dyDescent="0.25">
      <c r="A2" s="57" t="s">
        <v>92</v>
      </c>
      <c r="B2" s="57"/>
      <c r="C2" s="57"/>
      <c r="D2" s="57"/>
      <c r="F2" s="56"/>
    </row>
    <row r="3" spans="1:13" ht="26.25" x14ac:dyDescent="0.25">
      <c r="A3" s="55" t="s">
        <v>85</v>
      </c>
      <c r="B3" s="54"/>
      <c r="C3" s="53" t="s">
        <v>84</v>
      </c>
      <c r="D3" s="52" t="s">
        <v>83</v>
      </c>
      <c r="E3" s="50" t="s">
        <v>82</v>
      </c>
      <c r="F3" s="51" t="s">
        <v>81</v>
      </c>
      <c r="G3" s="50" t="s">
        <v>80</v>
      </c>
      <c r="H3" s="50" t="s">
        <v>79</v>
      </c>
      <c r="I3" s="50" t="s">
        <v>78</v>
      </c>
      <c r="J3" s="50" t="s">
        <v>77</v>
      </c>
      <c r="K3" s="50" t="s">
        <v>76</v>
      </c>
      <c r="L3" s="50" t="s">
        <v>75</v>
      </c>
      <c r="M3" s="50" t="s">
        <v>74</v>
      </c>
    </row>
    <row r="4" spans="1:13" x14ac:dyDescent="0.25">
      <c r="A4" s="28" t="s">
        <v>73</v>
      </c>
      <c r="B4" s="46"/>
      <c r="C4" s="49">
        <f>3184.15+6466.47+1766.83</f>
        <v>11417.45</v>
      </c>
      <c r="D4" s="48">
        <v>7918</v>
      </c>
      <c r="E4" s="47"/>
      <c r="F4" s="47"/>
      <c r="G4" s="47"/>
      <c r="H4" s="47"/>
      <c r="I4" s="47"/>
      <c r="J4" s="47"/>
      <c r="K4" s="47"/>
      <c r="L4" s="23">
        <f>C4</f>
        <v>11417.45</v>
      </c>
      <c r="M4" s="16" t="s">
        <v>62</v>
      </c>
    </row>
    <row r="5" spans="1:13" x14ac:dyDescent="0.25">
      <c r="A5" s="28" t="s">
        <v>72</v>
      </c>
      <c r="B5" s="46"/>
      <c r="C5" s="27">
        <f>4952*1.02</f>
        <v>5051.04</v>
      </c>
      <c r="D5" s="26">
        <v>4952</v>
      </c>
      <c r="E5" s="45">
        <f>[1]income!F6+[1]income!N7</f>
        <v>5051</v>
      </c>
      <c r="F5" s="23" t="s">
        <v>62</v>
      </c>
      <c r="G5" s="23"/>
      <c r="H5" s="23"/>
      <c r="I5" s="24"/>
      <c r="J5" s="24"/>
      <c r="K5" s="24"/>
      <c r="L5" s="23">
        <f>SUM(E5:K5)</f>
        <v>5051</v>
      </c>
      <c r="M5" s="44">
        <f>(L5-C5)/C5*100</f>
        <v>-7.9191612024382351E-4</v>
      </c>
    </row>
    <row r="6" spans="1:13" x14ac:dyDescent="0.25">
      <c r="A6" s="33" t="s">
        <v>71</v>
      </c>
      <c r="B6" s="28"/>
      <c r="C6" s="27">
        <v>542</v>
      </c>
      <c r="D6" s="26">
        <v>604</v>
      </c>
      <c r="E6" s="23"/>
      <c r="F6" s="23"/>
      <c r="G6" s="23"/>
      <c r="H6" s="23">
        <f>[1]income!O11</f>
        <v>523</v>
      </c>
      <c r="I6" s="24"/>
      <c r="J6" s="24"/>
      <c r="K6" s="24"/>
      <c r="L6" s="23">
        <f>SUM(E6:K6)</f>
        <v>523</v>
      </c>
      <c r="M6" s="22"/>
    </row>
    <row r="7" spans="1:13" x14ac:dyDescent="0.25">
      <c r="A7" s="33" t="s">
        <v>70</v>
      </c>
      <c r="B7" s="28"/>
      <c r="C7" s="27">
        <f>0.96*4</f>
        <v>3.84</v>
      </c>
      <c r="D7" s="26">
        <v>4</v>
      </c>
      <c r="E7" s="23"/>
      <c r="F7" s="23"/>
      <c r="G7" s="23">
        <v>1.1000000000000001</v>
      </c>
      <c r="H7" s="23">
        <v>1.1100000000000001</v>
      </c>
      <c r="I7" s="24"/>
      <c r="J7" s="24">
        <f>[1]income!O15</f>
        <v>0.96</v>
      </c>
      <c r="K7" s="24">
        <v>1</v>
      </c>
      <c r="L7" s="23">
        <f>SUM(G7:K7)</f>
        <v>4.17</v>
      </c>
      <c r="M7" s="22"/>
    </row>
    <row r="8" spans="1:13" x14ac:dyDescent="0.25">
      <c r="A8" s="33" t="s">
        <v>69</v>
      </c>
      <c r="B8" s="28"/>
      <c r="C8" s="27">
        <v>102</v>
      </c>
      <c r="D8" s="26">
        <v>100</v>
      </c>
      <c r="E8" s="23"/>
      <c r="F8" s="23"/>
      <c r="G8" s="23">
        <v>101.05</v>
      </c>
      <c r="H8" s="23"/>
      <c r="I8" s="24"/>
      <c r="J8" s="24"/>
      <c r="K8" s="24"/>
      <c r="L8" s="23">
        <f>SUM(E8:K8)</f>
        <v>101.05</v>
      </c>
      <c r="M8" s="22"/>
    </row>
    <row r="9" spans="1:13" x14ac:dyDescent="0.25">
      <c r="A9" s="33" t="s">
        <v>68</v>
      </c>
      <c r="B9" s="28"/>
      <c r="C9" s="27">
        <v>0</v>
      </c>
      <c r="D9" s="26">
        <v>6200</v>
      </c>
      <c r="E9" s="23"/>
      <c r="F9" s="23"/>
      <c r="G9" s="23"/>
      <c r="H9" s="23"/>
      <c r="I9" s="24"/>
      <c r="J9" s="24"/>
      <c r="K9" s="24">
        <f>[1]expenditure!Q54+[1]expenditure!Q55+[1]expenditure!Q56</f>
        <v>3855</v>
      </c>
      <c r="L9" s="23">
        <f>SUM(E9:K9)</f>
        <v>3855</v>
      </c>
      <c r="M9" s="22"/>
    </row>
    <row r="10" spans="1:13" x14ac:dyDescent="0.25">
      <c r="A10" s="33" t="s">
        <v>30</v>
      </c>
      <c r="B10" s="28"/>
      <c r="C10" s="27">
        <v>0</v>
      </c>
      <c r="D10" s="26"/>
      <c r="E10" s="23"/>
      <c r="F10" s="23"/>
      <c r="G10" s="23"/>
      <c r="H10" s="23"/>
      <c r="I10" s="24"/>
      <c r="J10" s="24"/>
      <c r="K10" s="24"/>
      <c r="L10" s="23"/>
      <c r="M10" s="22"/>
    </row>
    <row r="11" spans="1:13" x14ac:dyDescent="0.25">
      <c r="A11" s="33" t="s">
        <v>67</v>
      </c>
      <c r="B11" s="28"/>
      <c r="C11" s="27">
        <v>0</v>
      </c>
      <c r="D11" s="26">
        <v>220</v>
      </c>
      <c r="E11" s="23"/>
      <c r="F11" s="23"/>
      <c r="G11" s="23"/>
      <c r="H11" s="23"/>
      <c r="I11" s="24"/>
      <c r="J11" s="24"/>
      <c r="K11" s="24"/>
      <c r="L11" s="23"/>
      <c r="M11" s="22"/>
    </row>
    <row r="12" spans="1:13" x14ac:dyDescent="0.25">
      <c r="A12" s="32" t="s">
        <v>19</v>
      </c>
      <c r="B12" s="28"/>
      <c r="C12" s="27">
        <v>0</v>
      </c>
      <c r="D12" s="26">
        <v>677</v>
      </c>
      <c r="E12" s="23"/>
      <c r="F12" s="23"/>
      <c r="G12" s="23"/>
      <c r="H12" s="23"/>
      <c r="I12" s="24"/>
      <c r="J12" s="24"/>
      <c r="K12" s="24">
        <f>455.28</f>
        <v>455.28</v>
      </c>
      <c r="L12" s="23">
        <f>SUM(K12)</f>
        <v>455.28</v>
      </c>
      <c r="M12" s="22"/>
    </row>
    <row r="13" spans="1:13" x14ac:dyDescent="0.25">
      <c r="A13" s="32" t="s">
        <v>66</v>
      </c>
      <c r="B13" s="43"/>
      <c r="C13" s="27">
        <v>25</v>
      </c>
      <c r="D13" s="26">
        <v>88</v>
      </c>
      <c r="E13" s="23"/>
      <c r="F13" s="42"/>
      <c r="G13" s="23"/>
      <c r="H13" s="23"/>
      <c r="I13" s="24"/>
      <c r="J13" s="24">
        <f>[1]income!O17</f>
        <v>5</v>
      </c>
      <c r="K13" s="24"/>
      <c r="L13" s="23">
        <v>5</v>
      </c>
      <c r="M13" s="22"/>
    </row>
    <row r="14" spans="1:13" x14ac:dyDescent="0.25">
      <c r="A14" s="32" t="s">
        <v>65</v>
      </c>
      <c r="B14" s="43"/>
      <c r="C14" s="27">
        <v>0</v>
      </c>
      <c r="D14" s="26">
        <f>191+1395.2</f>
        <v>1586.2</v>
      </c>
      <c r="E14" s="24"/>
      <c r="F14" s="42">
        <f>[1]income!N8</f>
        <v>423.07</v>
      </c>
      <c r="G14" s="23"/>
      <c r="H14" s="23"/>
      <c r="I14" s="24"/>
      <c r="J14" s="24">
        <f>[1]income!N16+[1]income!N18</f>
        <v>325</v>
      </c>
      <c r="K14" s="24"/>
      <c r="L14" s="23">
        <f>SUM(F14:K14)</f>
        <v>748.06999999999994</v>
      </c>
      <c r="M14" s="22"/>
    </row>
    <row r="15" spans="1:13" ht="17.25" x14ac:dyDescent="0.4">
      <c r="A15" s="29" t="s">
        <v>43</v>
      </c>
      <c r="B15" s="28" t="s">
        <v>64</v>
      </c>
      <c r="C15" s="27">
        <f>(3*15)*3</f>
        <v>135</v>
      </c>
      <c r="D15" s="26">
        <v>1355</v>
      </c>
      <c r="E15" s="23"/>
      <c r="F15" s="41"/>
      <c r="G15" s="23"/>
      <c r="H15" s="23"/>
      <c r="I15" s="24">
        <f>[1]income!O13+[1]income!O14</f>
        <v>794.15</v>
      </c>
      <c r="J15" s="24"/>
      <c r="K15" s="24"/>
      <c r="L15" s="23">
        <f>SUM(I15:K15)</f>
        <v>794.15</v>
      </c>
      <c r="M15" s="22"/>
    </row>
    <row r="16" spans="1:13" x14ac:dyDescent="0.25">
      <c r="A16" s="40" t="s">
        <v>63</v>
      </c>
      <c r="B16" s="20"/>
      <c r="C16" s="39">
        <f>SUM(C4:C15)</f>
        <v>17276.330000000002</v>
      </c>
      <c r="D16" s="38">
        <f>SUM(D4:D15)</f>
        <v>23704.2</v>
      </c>
      <c r="E16" s="17">
        <f>SUM(E5:E15)</f>
        <v>5051</v>
      </c>
      <c r="F16" s="17">
        <f>SUM(F5:F15)</f>
        <v>423.07</v>
      </c>
      <c r="G16" s="17">
        <f>SUM(G5:G15)</f>
        <v>102.14999999999999</v>
      </c>
      <c r="H16" s="17">
        <f>SUM(H5:H15)</f>
        <v>524.11</v>
      </c>
      <c r="I16" s="17">
        <f>SUM(I6:I15)</f>
        <v>794.15</v>
      </c>
      <c r="J16" s="17">
        <f>SUM(J5:J15)</f>
        <v>330.96</v>
      </c>
      <c r="K16" s="17">
        <f>SUM(K5:K15)</f>
        <v>4311.28</v>
      </c>
      <c r="L16" s="17">
        <f>SUM(L4:L15)</f>
        <v>22954.17</v>
      </c>
      <c r="M16" s="16" t="s">
        <v>62</v>
      </c>
    </row>
    <row r="17" spans="1:14" x14ac:dyDescent="0.25">
      <c r="A17" s="33"/>
      <c r="B17" s="28"/>
      <c r="C17" s="27"/>
      <c r="D17" s="26"/>
      <c r="E17" s="23"/>
      <c r="F17" s="23"/>
      <c r="G17" s="23"/>
      <c r="H17" s="23"/>
      <c r="I17" s="23"/>
      <c r="J17" s="23"/>
      <c r="K17" s="24"/>
      <c r="L17" s="23"/>
      <c r="M17" s="22"/>
      <c r="N17" s="12"/>
    </row>
    <row r="18" spans="1:14" x14ac:dyDescent="0.25">
      <c r="A18" s="228" t="s">
        <v>61</v>
      </c>
      <c r="B18" s="229"/>
      <c r="C18" s="27"/>
      <c r="D18" s="26"/>
      <c r="E18" s="23"/>
      <c r="F18" s="23"/>
      <c r="G18" s="23"/>
      <c r="H18" s="23"/>
      <c r="I18" s="23"/>
      <c r="J18" s="23"/>
      <c r="K18" s="24"/>
      <c r="L18" s="23"/>
      <c r="M18" s="22"/>
    </row>
    <row r="19" spans="1:14" x14ac:dyDescent="0.25">
      <c r="A19" s="28" t="s">
        <v>60</v>
      </c>
      <c r="B19" s="28" t="s">
        <v>59</v>
      </c>
      <c r="C19" s="27">
        <v>126</v>
      </c>
      <c r="D19" s="26">
        <v>124</v>
      </c>
      <c r="E19" s="23"/>
      <c r="F19" s="23">
        <v>126</v>
      </c>
      <c r="G19" s="23"/>
      <c r="H19" s="23"/>
      <c r="I19" s="24"/>
      <c r="J19" s="24"/>
      <c r="K19" s="24"/>
      <c r="L19" s="23">
        <f t="shared" ref="L19:L53" si="0">SUM(E19:K19)</f>
        <v>126</v>
      </c>
      <c r="M19" s="22"/>
    </row>
    <row r="20" spans="1:14" ht="17.25" x14ac:dyDescent="0.4">
      <c r="A20" s="33" t="s">
        <v>58</v>
      </c>
      <c r="B20" s="28" t="s">
        <v>57</v>
      </c>
      <c r="C20" s="27">
        <v>400</v>
      </c>
      <c r="D20" s="26">
        <v>0</v>
      </c>
      <c r="E20" s="23"/>
      <c r="F20" s="36"/>
      <c r="G20" s="23"/>
      <c r="H20" s="23"/>
      <c r="I20" s="24"/>
      <c r="J20" s="24"/>
      <c r="K20" s="24"/>
      <c r="L20" s="23">
        <f t="shared" si="0"/>
        <v>0</v>
      </c>
      <c r="M20" s="30"/>
    </row>
    <row r="21" spans="1:14" ht="17.25" x14ac:dyDescent="0.4">
      <c r="A21" s="33"/>
      <c r="B21" s="28" t="s">
        <v>56</v>
      </c>
      <c r="C21" s="27">
        <v>350</v>
      </c>
      <c r="D21" s="26">
        <v>0</v>
      </c>
      <c r="E21" s="23"/>
      <c r="F21" s="36"/>
      <c r="G21" s="23"/>
      <c r="H21" s="23"/>
      <c r="I21" s="24"/>
      <c r="J21" s="24"/>
      <c r="K21" s="24"/>
      <c r="L21" s="23">
        <f t="shared" si="0"/>
        <v>0</v>
      </c>
      <c r="M21" s="30"/>
    </row>
    <row r="22" spans="1:14" ht="17.25" x14ac:dyDescent="0.4">
      <c r="A22" s="33"/>
      <c r="B22" s="28" t="s">
        <v>55</v>
      </c>
      <c r="C22" s="27">
        <v>0</v>
      </c>
      <c r="D22" s="26">
        <v>5450</v>
      </c>
      <c r="E22" s="23"/>
      <c r="F22" s="36"/>
      <c r="G22" s="23"/>
      <c r="H22" s="23"/>
      <c r="I22" s="24"/>
      <c r="J22" s="24"/>
      <c r="K22" s="24">
        <f>692+1263+1900</f>
        <v>3855</v>
      </c>
      <c r="L22" s="23">
        <f t="shared" si="0"/>
        <v>3855</v>
      </c>
      <c r="M22" s="30"/>
    </row>
    <row r="23" spans="1:14" ht="17.25" x14ac:dyDescent="0.4">
      <c r="A23" s="33"/>
      <c r="B23" s="28" t="s">
        <v>54</v>
      </c>
      <c r="C23" s="27">
        <v>0</v>
      </c>
      <c r="D23" s="26">
        <v>20</v>
      </c>
      <c r="E23" s="23"/>
      <c r="F23" s="36"/>
      <c r="G23" s="23"/>
      <c r="H23" s="23"/>
      <c r="I23" s="24"/>
      <c r="J23" s="24"/>
      <c r="K23" s="24"/>
      <c r="L23" s="23">
        <f t="shared" si="0"/>
        <v>0</v>
      </c>
      <c r="M23" s="30"/>
    </row>
    <row r="24" spans="1:14" ht="17.25" x14ac:dyDescent="0.4">
      <c r="A24" s="33"/>
      <c r="B24" s="28" t="s">
        <v>53</v>
      </c>
      <c r="C24" s="27">
        <v>1500</v>
      </c>
      <c r="D24" s="26">
        <v>38</v>
      </c>
      <c r="E24" s="23"/>
      <c r="F24" s="36"/>
      <c r="G24" s="23"/>
      <c r="H24" s="23">
        <f>1025+300</f>
        <v>1325</v>
      </c>
      <c r="I24" s="24"/>
      <c r="J24" s="24"/>
      <c r="K24" s="24"/>
      <c r="L24" s="23">
        <f t="shared" si="0"/>
        <v>1325</v>
      </c>
      <c r="M24" s="30"/>
    </row>
    <row r="25" spans="1:14" x14ac:dyDescent="0.25">
      <c r="A25" s="33" t="s">
        <v>52</v>
      </c>
      <c r="B25" s="28" t="s">
        <v>51</v>
      </c>
      <c r="C25" s="27">
        <f>423.07+300</f>
        <v>723.06999999999994</v>
      </c>
      <c r="D25" s="26">
        <v>280</v>
      </c>
      <c r="E25" s="25"/>
      <c r="F25" s="23"/>
      <c r="G25" s="23"/>
      <c r="H25" s="23"/>
      <c r="I25" s="24"/>
      <c r="J25" s="24"/>
      <c r="K25" s="24">
        <f>350</f>
        <v>350</v>
      </c>
      <c r="L25" s="23">
        <f t="shared" si="0"/>
        <v>350</v>
      </c>
      <c r="M25" s="30"/>
    </row>
    <row r="26" spans="1:14" x14ac:dyDescent="0.25">
      <c r="A26" s="33"/>
      <c r="B26" s="28" t="s">
        <v>50</v>
      </c>
      <c r="C26" s="27">
        <v>50</v>
      </c>
      <c r="D26" s="26">
        <v>50</v>
      </c>
      <c r="E26" s="25"/>
      <c r="F26" s="23"/>
      <c r="G26" s="23"/>
      <c r="H26" s="23"/>
      <c r="I26" s="24">
        <v>50</v>
      </c>
      <c r="J26" s="24"/>
      <c r="K26" s="24">
        <f>300</f>
        <v>300</v>
      </c>
      <c r="L26" s="23">
        <f t="shared" si="0"/>
        <v>350</v>
      </c>
      <c r="M26" s="30"/>
    </row>
    <row r="27" spans="1:14" x14ac:dyDescent="0.25">
      <c r="A27" s="33"/>
      <c r="B27" s="28" t="s">
        <v>49</v>
      </c>
      <c r="C27" s="27">
        <v>200</v>
      </c>
      <c r="D27" s="26">
        <v>0</v>
      </c>
      <c r="E27" s="25"/>
      <c r="F27" s="23"/>
      <c r="G27" s="23"/>
      <c r="H27" s="23">
        <v>200</v>
      </c>
      <c r="I27" s="24"/>
      <c r="J27" s="24"/>
      <c r="K27" s="24"/>
      <c r="L27" s="23">
        <f t="shared" si="0"/>
        <v>200</v>
      </c>
      <c r="M27" s="30"/>
    </row>
    <row r="28" spans="1:14" x14ac:dyDescent="0.25">
      <c r="A28" s="33"/>
      <c r="B28" s="28" t="s">
        <v>48</v>
      </c>
      <c r="C28" s="27">
        <v>150</v>
      </c>
      <c r="D28" s="26">
        <v>50</v>
      </c>
      <c r="E28" s="25"/>
      <c r="F28" s="23"/>
      <c r="G28" s="23"/>
      <c r="H28" s="23"/>
      <c r="I28" s="24">
        <v>50</v>
      </c>
      <c r="J28" s="24"/>
      <c r="K28" s="24"/>
      <c r="L28" s="23">
        <f t="shared" si="0"/>
        <v>50</v>
      </c>
      <c r="M28" s="30"/>
    </row>
    <row r="29" spans="1:14" x14ac:dyDescent="0.25">
      <c r="A29" s="33"/>
      <c r="B29" s="28" t="s">
        <v>47</v>
      </c>
      <c r="C29" s="27">
        <v>0</v>
      </c>
      <c r="D29" s="26">
        <v>0</v>
      </c>
      <c r="E29" s="25"/>
      <c r="F29" s="23"/>
      <c r="G29" s="23"/>
      <c r="H29" s="23"/>
      <c r="I29" s="24"/>
      <c r="J29" s="24"/>
      <c r="K29" s="24"/>
      <c r="L29" s="23">
        <f t="shared" si="0"/>
        <v>0</v>
      </c>
      <c r="M29" s="30"/>
    </row>
    <row r="30" spans="1:14" x14ac:dyDescent="0.25">
      <c r="A30" s="28" t="s">
        <v>46</v>
      </c>
      <c r="B30" s="28" t="s">
        <v>45</v>
      </c>
      <c r="C30" s="27">
        <v>309.82</v>
      </c>
      <c r="D30" s="26">
        <v>290</v>
      </c>
      <c r="E30" s="25"/>
      <c r="F30" s="23">
        <v>309.82</v>
      </c>
      <c r="G30" s="23"/>
      <c r="H30" s="23"/>
      <c r="I30" s="24"/>
      <c r="J30" s="24"/>
      <c r="K30" s="24"/>
      <c r="L30" s="23">
        <f t="shared" si="0"/>
        <v>309.82</v>
      </c>
      <c r="M30" s="30"/>
    </row>
    <row r="31" spans="1:14" x14ac:dyDescent="0.25">
      <c r="A31" s="28"/>
      <c r="B31" s="28" t="s">
        <v>44</v>
      </c>
      <c r="C31" s="27">
        <v>423.07</v>
      </c>
      <c r="D31" s="26">
        <v>392</v>
      </c>
      <c r="E31" s="25"/>
      <c r="F31" s="23">
        <v>423.07</v>
      </c>
      <c r="G31" s="23"/>
      <c r="H31" s="23"/>
      <c r="I31" s="24"/>
      <c r="J31" s="24"/>
      <c r="K31" s="24"/>
      <c r="L31" s="23">
        <f t="shared" si="0"/>
        <v>423.07</v>
      </c>
      <c r="M31" s="30"/>
    </row>
    <row r="32" spans="1:14" x14ac:dyDescent="0.25">
      <c r="A32" s="28"/>
      <c r="B32" s="28" t="s">
        <v>43</v>
      </c>
      <c r="C32" s="27">
        <v>150.52000000000001</v>
      </c>
      <c r="D32" s="26">
        <v>146</v>
      </c>
      <c r="E32" s="25"/>
      <c r="F32" s="23">
        <v>150.52000000000001</v>
      </c>
      <c r="G32" s="23"/>
      <c r="H32" s="23"/>
      <c r="I32" s="24"/>
      <c r="J32" s="24"/>
      <c r="K32" s="24"/>
      <c r="L32" s="23">
        <f t="shared" si="0"/>
        <v>150.52000000000001</v>
      </c>
      <c r="M32" s="30"/>
    </row>
    <row r="33" spans="1:13" x14ac:dyDescent="0.25">
      <c r="A33" s="28" t="s">
        <v>42</v>
      </c>
      <c r="B33" s="28" t="s">
        <v>41</v>
      </c>
      <c r="C33" s="27">
        <f>1500*1.05</f>
        <v>1575</v>
      </c>
      <c r="D33" s="26">
        <v>1125</v>
      </c>
      <c r="E33" s="25"/>
      <c r="F33" s="23">
        <f>[1]expenditure!I15</f>
        <v>125</v>
      </c>
      <c r="G33" s="23">
        <v>125</v>
      </c>
      <c r="H33" s="23">
        <v>125</v>
      </c>
      <c r="I33" s="24">
        <v>250</v>
      </c>
      <c r="J33" s="24"/>
      <c r="K33" s="24"/>
      <c r="L33" s="23">
        <f t="shared" si="0"/>
        <v>625</v>
      </c>
      <c r="M33" s="34"/>
    </row>
    <row r="34" spans="1:13" x14ac:dyDescent="0.25">
      <c r="A34" s="33"/>
      <c r="B34" s="28" t="s">
        <v>40</v>
      </c>
      <c r="C34" s="27">
        <v>59.95</v>
      </c>
      <c r="D34" s="26">
        <v>60</v>
      </c>
      <c r="E34" s="25"/>
      <c r="F34" s="23">
        <f>[1]expenditure!J10</f>
        <v>59.95</v>
      </c>
      <c r="G34" s="23"/>
      <c r="H34" s="23"/>
      <c r="I34" s="24"/>
      <c r="J34" s="24"/>
      <c r="K34" s="24"/>
      <c r="L34" s="23">
        <f t="shared" si="0"/>
        <v>59.95</v>
      </c>
      <c r="M34" s="34"/>
    </row>
    <row r="35" spans="1:13" x14ac:dyDescent="0.25">
      <c r="A35" s="28"/>
      <c r="B35" s="28" t="s">
        <v>39</v>
      </c>
      <c r="C35" s="27">
        <f>100</f>
        <v>100</v>
      </c>
      <c r="D35" s="26">
        <v>30</v>
      </c>
      <c r="E35" s="25"/>
      <c r="F35" s="23">
        <f>[1]expenditure!I12</f>
        <v>35</v>
      </c>
      <c r="G35" s="23"/>
      <c r="H35" s="23">
        <v>40</v>
      </c>
      <c r="I35" s="24"/>
      <c r="J35" s="24"/>
      <c r="K35" s="24">
        <f>[1]expenditure!K57+[1]expenditure!I50</f>
        <v>155.94999999999999</v>
      </c>
      <c r="L35" s="23">
        <f t="shared" si="0"/>
        <v>230.95</v>
      </c>
      <c r="M35" s="34"/>
    </row>
    <row r="36" spans="1:13" x14ac:dyDescent="0.25">
      <c r="A36" s="28"/>
      <c r="B36" s="28" t="s">
        <v>38</v>
      </c>
      <c r="C36" s="27">
        <v>600</v>
      </c>
      <c r="D36" s="26">
        <v>0</v>
      </c>
      <c r="E36" s="25"/>
      <c r="F36" s="23"/>
      <c r="G36" s="23">
        <v>600</v>
      </c>
      <c r="H36" s="23"/>
      <c r="I36" s="24"/>
      <c r="J36" s="24"/>
      <c r="K36" s="24"/>
      <c r="L36" s="23">
        <f t="shared" si="0"/>
        <v>600</v>
      </c>
      <c r="M36" s="34"/>
    </row>
    <row r="37" spans="1:13" x14ac:dyDescent="0.25">
      <c r="A37" s="33"/>
      <c r="B37" s="28" t="s">
        <v>37</v>
      </c>
      <c r="C37" s="27">
        <v>345</v>
      </c>
      <c r="D37" s="26">
        <v>0</v>
      </c>
      <c r="E37" s="25"/>
      <c r="F37" s="23">
        <f>[1]expenditure!I9</f>
        <v>345</v>
      </c>
      <c r="G37" s="23"/>
      <c r="H37" s="23"/>
      <c r="I37" s="24"/>
      <c r="J37" s="24"/>
      <c r="K37" s="24">
        <f>[1]expenditure!Q53</f>
        <v>1410</v>
      </c>
      <c r="L37" s="23">
        <f t="shared" si="0"/>
        <v>1755</v>
      </c>
      <c r="M37" s="34"/>
    </row>
    <row r="38" spans="1:13" x14ac:dyDescent="0.25">
      <c r="A38" s="28" t="s">
        <v>36</v>
      </c>
      <c r="B38" s="28" t="s">
        <v>35</v>
      </c>
      <c r="C38" s="27">
        <f>(8.835*17.5)*12</f>
        <v>1855.3500000000001</v>
      </c>
      <c r="D38" s="26">
        <v>1657</v>
      </c>
      <c r="E38" s="35">
        <f>154.61</f>
        <v>154.61000000000001</v>
      </c>
      <c r="F38" s="23">
        <f>154.61*2</f>
        <v>309.22000000000003</v>
      </c>
      <c r="G38" s="23">
        <f>154.61+154.61</f>
        <v>309.22000000000003</v>
      </c>
      <c r="H38" s="23">
        <f>154.61*2</f>
        <v>309.22000000000003</v>
      </c>
      <c r="I38" s="24">
        <f>[1]expenditure!L34+[1]expenditure!L35</f>
        <v>309.22000000000003</v>
      </c>
      <c r="J38" s="24">
        <f>[1]expenditure!L41+[1]expenditure!L42+[1]expenditure!L43</f>
        <v>326.93</v>
      </c>
      <c r="K38" s="24">
        <f>[1]expenditure!L41</f>
        <v>158.01</v>
      </c>
      <c r="L38" s="23">
        <f t="shared" si="0"/>
        <v>1876.43</v>
      </c>
      <c r="M38" s="34"/>
    </row>
    <row r="39" spans="1:13" x14ac:dyDescent="0.25">
      <c r="A39" s="33"/>
      <c r="B39" s="28" t="s">
        <v>34</v>
      </c>
      <c r="C39" s="27">
        <v>80</v>
      </c>
      <c r="D39" s="26">
        <v>80</v>
      </c>
      <c r="E39" s="25"/>
      <c r="F39" s="23"/>
      <c r="G39" s="23"/>
      <c r="H39" s="23">
        <f>40</f>
        <v>40</v>
      </c>
      <c r="I39" s="24"/>
      <c r="J39" s="24"/>
      <c r="K39" s="24">
        <f>40</f>
        <v>40</v>
      </c>
      <c r="L39" s="23">
        <f t="shared" si="0"/>
        <v>80</v>
      </c>
      <c r="M39" s="30"/>
    </row>
    <row r="40" spans="1:13" x14ac:dyDescent="0.25">
      <c r="A40" s="28" t="s">
        <v>33</v>
      </c>
      <c r="B40" s="28" t="s">
        <v>32</v>
      </c>
      <c r="C40" s="27">
        <v>175</v>
      </c>
      <c r="D40" s="26">
        <v>100</v>
      </c>
      <c r="E40" s="25"/>
      <c r="F40" s="23"/>
      <c r="G40" s="23"/>
      <c r="H40" s="23">
        <v>100</v>
      </c>
      <c r="I40" s="24"/>
      <c r="J40" s="24"/>
      <c r="K40" s="24"/>
      <c r="L40" s="23">
        <f t="shared" si="0"/>
        <v>100</v>
      </c>
      <c r="M40" s="30"/>
    </row>
    <row r="41" spans="1:13" x14ac:dyDescent="0.25">
      <c r="A41" s="28"/>
      <c r="B41" s="28" t="s">
        <v>31</v>
      </c>
      <c r="C41" s="27">
        <v>100</v>
      </c>
      <c r="D41" s="26">
        <v>116</v>
      </c>
      <c r="E41" s="25"/>
      <c r="F41" s="23">
        <v>0.6</v>
      </c>
      <c r="G41" s="23"/>
      <c r="H41" s="23">
        <f>3.18</f>
        <v>3.18</v>
      </c>
      <c r="I41" s="24">
        <f>0.93+4.11</f>
        <v>5.04</v>
      </c>
      <c r="J41" s="24"/>
      <c r="K41" s="24">
        <f>[1]expenditure!G51</f>
        <v>10.09</v>
      </c>
      <c r="L41" s="23">
        <f t="shared" si="0"/>
        <v>18.91</v>
      </c>
      <c r="M41" s="30"/>
    </row>
    <row r="42" spans="1:13" x14ac:dyDescent="0.25">
      <c r="A42" s="28"/>
      <c r="B42" s="28" t="s">
        <v>30</v>
      </c>
      <c r="C42" s="27">
        <v>75</v>
      </c>
      <c r="D42" s="26">
        <v>0</v>
      </c>
      <c r="E42" s="25"/>
      <c r="F42" s="23">
        <v>30</v>
      </c>
      <c r="G42" s="23"/>
      <c r="H42" s="23"/>
      <c r="I42" s="24"/>
      <c r="J42" s="24"/>
      <c r="K42" s="24"/>
      <c r="L42" s="23">
        <f t="shared" si="0"/>
        <v>30</v>
      </c>
      <c r="M42" s="22"/>
    </row>
    <row r="43" spans="1:13" x14ac:dyDescent="0.25">
      <c r="A43" s="28" t="s">
        <v>29</v>
      </c>
      <c r="B43" s="28" t="s">
        <v>28</v>
      </c>
      <c r="C43" s="27">
        <v>80</v>
      </c>
      <c r="D43" s="26">
        <v>0</v>
      </c>
      <c r="E43" s="25"/>
      <c r="F43" s="23">
        <v>20.69</v>
      </c>
      <c r="G43" s="23"/>
      <c r="H43" s="23">
        <v>11.37</v>
      </c>
      <c r="I43" s="24"/>
      <c r="J43" s="24"/>
      <c r="K43" s="24"/>
      <c r="L43" s="23">
        <f t="shared" si="0"/>
        <v>32.06</v>
      </c>
      <c r="M43" s="22"/>
    </row>
    <row r="44" spans="1:13" x14ac:dyDescent="0.25">
      <c r="A44" s="28"/>
      <c r="B44" s="28" t="s">
        <v>27</v>
      </c>
      <c r="C44" s="27">
        <v>100</v>
      </c>
      <c r="D44" s="26">
        <v>0</v>
      </c>
      <c r="E44" s="25"/>
      <c r="F44" s="23"/>
      <c r="G44" s="23">
        <v>99.99</v>
      </c>
      <c r="H44" s="23"/>
      <c r="I44" s="24"/>
      <c r="J44" s="24"/>
      <c r="K44" s="24"/>
      <c r="L44" s="23">
        <f t="shared" si="0"/>
        <v>99.99</v>
      </c>
      <c r="M44" s="22"/>
    </row>
    <row r="45" spans="1:13" x14ac:dyDescent="0.25">
      <c r="A45" s="28" t="s">
        <v>26</v>
      </c>
      <c r="B45" s="32"/>
      <c r="C45" s="27">
        <v>105</v>
      </c>
      <c r="D45" s="26">
        <v>105</v>
      </c>
      <c r="E45" s="25"/>
      <c r="F45" s="23">
        <f>[1]expenditure!G11</f>
        <v>14</v>
      </c>
      <c r="G45" s="23"/>
      <c r="H45" s="23">
        <v>14</v>
      </c>
      <c r="I45" s="24"/>
      <c r="J45" s="24"/>
      <c r="K45" s="24">
        <f>[1]expenditure!G52</f>
        <v>14</v>
      </c>
      <c r="L45" s="23">
        <f t="shared" si="0"/>
        <v>42</v>
      </c>
      <c r="M45" s="22"/>
    </row>
    <row r="46" spans="1:13" x14ac:dyDescent="0.25">
      <c r="A46" s="28" t="s">
        <v>25</v>
      </c>
      <c r="B46" s="28"/>
      <c r="C46" s="27">
        <f>118.45*3</f>
        <v>355.35</v>
      </c>
      <c r="D46" s="26">
        <v>234</v>
      </c>
      <c r="E46" s="25"/>
      <c r="F46" s="23"/>
      <c r="G46" s="23">
        <v>118.45</v>
      </c>
      <c r="H46" s="23">
        <f>79.94</f>
        <v>79.94</v>
      </c>
      <c r="I46" s="24"/>
      <c r="J46" s="24">
        <f>[1]expenditure!H44+[1]expenditure!H45</f>
        <v>88.64</v>
      </c>
      <c r="K46" s="24"/>
      <c r="L46" s="23">
        <f t="shared" si="0"/>
        <v>287.02999999999997</v>
      </c>
      <c r="M46" s="22"/>
    </row>
    <row r="47" spans="1:13" x14ac:dyDescent="0.25">
      <c r="A47" s="28" t="s">
        <v>24</v>
      </c>
      <c r="B47" s="28" t="s">
        <v>23</v>
      </c>
      <c r="C47" s="27">
        <v>450</v>
      </c>
      <c r="D47" s="26">
        <v>100</v>
      </c>
      <c r="E47" s="25"/>
      <c r="F47" s="23"/>
      <c r="G47" s="23"/>
      <c r="H47" s="23"/>
      <c r="I47" s="24">
        <f>[1]expenditure!I38</f>
        <v>583</v>
      </c>
      <c r="J47" s="24">
        <f>[1]expenditure!M46</f>
        <v>86</v>
      </c>
      <c r="K47" s="24"/>
      <c r="L47" s="23">
        <f t="shared" si="0"/>
        <v>669</v>
      </c>
      <c r="M47" s="30"/>
    </row>
    <row r="48" spans="1:13" x14ac:dyDescent="0.25">
      <c r="A48" s="28" t="s">
        <v>22</v>
      </c>
      <c r="B48" s="28"/>
      <c r="C48" s="27">
        <v>35</v>
      </c>
      <c r="D48" s="26">
        <v>35</v>
      </c>
      <c r="E48" s="25"/>
      <c r="F48" s="23"/>
      <c r="G48" s="23">
        <v>35</v>
      </c>
      <c r="H48" s="23"/>
      <c r="I48" s="24"/>
      <c r="J48" s="24"/>
      <c r="K48" s="24"/>
      <c r="L48" s="23">
        <f t="shared" si="0"/>
        <v>35</v>
      </c>
      <c r="M48" s="30"/>
    </row>
    <row r="49" spans="1:13" x14ac:dyDescent="0.25">
      <c r="A49" s="28" t="s">
        <v>21</v>
      </c>
      <c r="B49" s="28" t="s">
        <v>20</v>
      </c>
      <c r="C49" s="27">
        <v>15</v>
      </c>
      <c r="D49" s="26">
        <v>41</v>
      </c>
      <c r="E49" s="25"/>
      <c r="F49" s="23"/>
      <c r="G49" s="23"/>
      <c r="H49" s="23"/>
      <c r="I49" s="24">
        <v>78.069999999999993</v>
      </c>
      <c r="J49" s="24"/>
      <c r="K49" s="24"/>
      <c r="L49" s="23">
        <f t="shared" si="0"/>
        <v>78.069999999999993</v>
      </c>
      <c r="M49" s="30"/>
    </row>
    <row r="50" spans="1:13" x14ac:dyDescent="0.25">
      <c r="A50" s="29" t="s">
        <v>19</v>
      </c>
      <c r="B50" s="29" t="s">
        <v>18</v>
      </c>
      <c r="C50" s="27">
        <v>0</v>
      </c>
      <c r="D50" s="26">
        <v>657</v>
      </c>
      <c r="E50" s="31"/>
      <c r="F50" s="23">
        <f>[1]expenditure!P8+[1]expenditure!P9+[1]expenditure!P10+[1]expenditure!P15</f>
        <v>173.53000000000003</v>
      </c>
      <c r="G50" s="23">
        <v>25</v>
      </c>
      <c r="H50" s="23">
        <f>[1]expenditure!P31+[1]expenditure!P26</f>
        <v>45</v>
      </c>
      <c r="I50" s="24">
        <f>[1]expenditure!P36+[1]expenditure!P37+[1]expenditure!P38</f>
        <v>179.63</v>
      </c>
      <c r="J50" s="24">
        <f>[1]expenditure!P46</f>
        <v>12</v>
      </c>
      <c r="K50" s="24">
        <f>[1]expenditure!P57+[1]expenditure!P50</f>
        <v>31.189999999999994</v>
      </c>
      <c r="L50" s="23">
        <f t="shared" si="0"/>
        <v>466.35</v>
      </c>
      <c r="M50" s="30"/>
    </row>
    <row r="51" spans="1:13" x14ac:dyDescent="0.25">
      <c r="A51" s="29" t="s">
        <v>17</v>
      </c>
      <c r="B51" s="29"/>
      <c r="C51" s="27">
        <v>0</v>
      </c>
      <c r="D51" s="26">
        <v>55</v>
      </c>
      <c r="E51" s="25"/>
      <c r="F51" s="23"/>
      <c r="G51" s="23"/>
      <c r="H51" s="23"/>
      <c r="I51" s="24"/>
      <c r="J51" s="24"/>
      <c r="K51" s="24"/>
      <c r="L51" s="23">
        <f t="shared" si="0"/>
        <v>0</v>
      </c>
      <c r="M51" s="22"/>
    </row>
    <row r="52" spans="1:13" x14ac:dyDescent="0.25">
      <c r="A52" s="29" t="s">
        <v>16</v>
      </c>
      <c r="B52" s="29" t="s">
        <v>15</v>
      </c>
      <c r="C52" s="27">
        <f>337.68+(12*1.2)</f>
        <v>352.08</v>
      </c>
      <c r="D52" s="26">
        <v>1052</v>
      </c>
      <c r="E52" s="25"/>
      <c r="F52" s="23">
        <f>[1]expenditure!N8</f>
        <v>337.68</v>
      </c>
      <c r="G52" s="23"/>
      <c r="H52" s="23"/>
      <c r="I52" s="24">
        <v>68.16</v>
      </c>
      <c r="J52" s="24"/>
      <c r="K52" s="24"/>
      <c r="L52" s="23">
        <f t="shared" si="0"/>
        <v>405.84000000000003</v>
      </c>
      <c r="M52" s="22"/>
    </row>
    <row r="53" spans="1:13" x14ac:dyDescent="0.25">
      <c r="A53" s="28" t="s">
        <v>14</v>
      </c>
      <c r="B53" s="28"/>
      <c r="C53" s="27">
        <v>500</v>
      </c>
      <c r="D53" s="26">
        <v>0</v>
      </c>
      <c r="E53" s="25"/>
      <c r="F53" s="23"/>
      <c r="G53" s="23"/>
      <c r="H53" s="23"/>
      <c r="I53" s="24"/>
      <c r="J53" s="24"/>
      <c r="K53" s="24"/>
      <c r="L53" s="23">
        <f t="shared" si="0"/>
        <v>0</v>
      </c>
      <c r="M53" s="22"/>
    </row>
    <row r="54" spans="1:13" x14ac:dyDescent="0.25">
      <c r="A54" s="21" t="s">
        <v>13</v>
      </c>
      <c r="B54" s="20"/>
      <c r="C54" s="19">
        <f t="shared" ref="C54:K54" si="1">SUM(C19:C53)</f>
        <v>11340.210000000001</v>
      </c>
      <c r="D54" s="18">
        <f t="shared" si="1"/>
        <v>12287</v>
      </c>
      <c r="E54" s="17">
        <f t="shared" si="1"/>
        <v>154.61000000000001</v>
      </c>
      <c r="F54" s="17">
        <f t="shared" si="1"/>
        <v>2460.08</v>
      </c>
      <c r="G54" s="17">
        <f t="shared" si="1"/>
        <v>1312.66</v>
      </c>
      <c r="H54" s="17">
        <f t="shared" si="1"/>
        <v>2292.71</v>
      </c>
      <c r="I54" s="17">
        <f t="shared" si="1"/>
        <v>1573.1200000000001</v>
      </c>
      <c r="J54" s="17">
        <f t="shared" si="1"/>
        <v>513.56999999999994</v>
      </c>
      <c r="K54" s="17">
        <f t="shared" si="1"/>
        <v>6324.24</v>
      </c>
      <c r="L54" s="17">
        <f>SUM(L17:L53)</f>
        <v>14630.99</v>
      </c>
      <c r="M54" s="16"/>
    </row>
    <row r="55" spans="1:13" x14ac:dyDescent="0.25">
      <c r="A55" s="15" t="s">
        <v>12</v>
      </c>
      <c r="B55" s="14"/>
      <c r="C55" s="13"/>
      <c r="D55" s="13"/>
      <c r="E55" s="12"/>
    </row>
    <row r="56" spans="1:13" x14ac:dyDescent="0.25">
      <c r="A56" s="10" t="s">
        <v>11</v>
      </c>
      <c r="B56" s="9">
        <f>C4</f>
        <v>11417.45</v>
      </c>
      <c r="C56" s="12"/>
      <c r="D56" s="12"/>
      <c r="H56" s="1"/>
    </row>
    <row r="57" spans="1:13" x14ac:dyDescent="0.25">
      <c r="A57" s="10" t="s">
        <v>10</v>
      </c>
      <c r="B57" s="9">
        <f>L16-L4</f>
        <v>11536.719999999998</v>
      </c>
      <c r="C57" s="2"/>
    </row>
    <row r="58" spans="1:13" x14ac:dyDescent="0.25">
      <c r="A58" s="10" t="s">
        <v>9</v>
      </c>
      <c r="B58" s="9">
        <f>L54</f>
        <v>14630.99</v>
      </c>
      <c r="D58" s="4"/>
      <c r="J58" s="12"/>
      <c r="L58" s="12">
        <f>649</f>
        <v>649</v>
      </c>
    </row>
    <row r="59" spans="1:13" x14ac:dyDescent="0.25">
      <c r="A59" s="10" t="s">
        <v>8</v>
      </c>
      <c r="B59" s="5">
        <f>B56+B57-B58</f>
        <v>8323.1799999999985</v>
      </c>
      <c r="E59" s="2"/>
      <c r="F59">
        <f>8.613*14</f>
        <v>120.58199999999999</v>
      </c>
      <c r="H59">
        <f>F60/6</f>
        <v>8.82</v>
      </c>
      <c r="L59">
        <f>F60*12</f>
        <v>635.04</v>
      </c>
    </row>
    <row r="60" spans="1:13" x14ac:dyDescent="0.25">
      <c r="A60" s="11" t="s">
        <v>7</v>
      </c>
      <c r="B60" s="9"/>
      <c r="F60">
        <f>8.82*6</f>
        <v>52.92</v>
      </c>
      <c r="H60">
        <f>H59*14</f>
        <v>123.48</v>
      </c>
      <c r="L60">
        <f>H60*12</f>
        <v>1481.76</v>
      </c>
    </row>
    <row r="61" spans="1:13" x14ac:dyDescent="0.25">
      <c r="A61" s="10" t="s">
        <v>6</v>
      </c>
      <c r="B61" s="9">
        <v>4888.17</v>
      </c>
      <c r="D61" s="4"/>
      <c r="F61">
        <f>F59-F60</f>
        <v>67.661999999999992</v>
      </c>
      <c r="G61">
        <f>F61*12</f>
        <v>811.94399999999996</v>
      </c>
      <c r="H61">
        <f>H60-F60</f>
        <v>70.56</v>
      </c>
      <c r="I61">
        <f>H61*12</f>
        <v>846.72</v>
      </c>
      <c r="L61" s="12">
        <f>L60-L58</f>
        <v>832.76</v>
      </c>
    </row>
    <row r="62" spans="1:13" x14ac:dyDescent="0.25">
      <c r="A62" s="10" t="s">
        <v>5</v>
      </c>
      <c r="B62" s="9">
        <v>5720.64</v>
      </c>
      <c r="D62" s="4"/>
    </row>
    <row r="63" spans="1:13" x14ac:dyDescent="0.25">
      <c r="A63" s="10" t="s">
        <v>4</v>
      </c>
      <c r="B63" s="9">
        <v>1756.51</v>
      </c>
      <c r="D63" s="4"/>
      <c r="J63" s="2"/>
    </row>
    <row r="64" spans="1:13" x14ac:dyDescent="0.25">
      <c r="A64" s="4"/>
      <c r="B64" s="5">
        <f>SUM(B61:B63)</f>
        <v>12365.320000000002</v>
      </c>
      <c r="D64" s="4"/>
      <c r="E64" s="4"/>
    </row>
    <row r="65" spans="1:9" x14ac:dyDescent="0.25">
      <c r="B65" s="3"/>
      <c r="D65" t="s">
        <v>3</v>
      </c>
      <c r="G65" s="4">
        <v>6554.68</v>
      </c>
      <c r="H65" s="4"/>
      <c r="I65" s="4"/>
    </row>
    <row r="66" spans="1:9" x14ac:dyDescent="0.25">
      <c r="A66" s="8" t="s">
        <v>2</v>
      </c>
      <c r="B66" s="7">
        <f>[1]expenditure!Q57+[1]expenditure!Q56+[1]expenditure!Q55+[1]expenditure!Q54+[1]expenditure!Q50</f>
        <v>4042.14</v>
      </c>
      <c r="D66" t="s">
        <v>1</v>
      </c>
      <c r="G66" s="4">
        <v>1768.5</v>
      </c>
      <c r="H66" s="4"/>
    </row>
    <row r="67" spans="1:9" x14ac:dyDescent="0.25">
      <c r="B67" s="3"/>
      <c r="D67" s="4"/>
      <c r="G67" s="4"/>
    </row>
    <row r="68" spans="1:9" x14ac:dyDescent="0.25">
      <c r="A68" s="6" t="s">
        <v>0</v>
      </c>
      <c r="B68" s="5">
        <f>B64-B66</f>
        <v>8323.1800000000021</v>
      </c>
      <c r="D68" s="4"/>
      <c r="E68" s="4"/>
    </row>
    <row r="69" spans="1:9" x14ac:dyDescent="0.25">
      <c r="B69" s="3"/>
      <c r="H69" s="2"/>
    </row>
    <row r="70" spans="1:9" x14ac:dyDescent="0.25">
      <c r="E70" s="1">
        <f>B61-B66</f>
        <v>846.0300000000002</v>
      </c>
      <c r="H70" s="2"/>
    </row>
    <row r="71" spans="1:9" x14ac:dyDescent="0.25">
      <c r="H71" s="1"/>
    </row>
  </sheetData>
  <mergeCells count="1">
    <mergeCell ref="A18:B18"/>
  </mergeCells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Updated 2016 2017 Budget (2)</vt:lpstr>
      <vt:lpstr>2016 2017 Budget</vt:lpstr>
      <vt:lpstr>income</vt:lpstr>
      <vt:lpstr>expenditure</vt:lpstr>
      <vt:lpstr>2015 2016 summary</vt:lpstr>
      <vt:lpstr>Sheet1</vt:lpstr>
      <vt:lpstr>2014 2015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Kyle</dc:creator>
  <cp:lastModifiedBy>Owner</cp:lastModifiedBy>
  <cp:lastPrinted>2017-01-07T13:45:11Z</cp:lastPrinted>
  <dcterms:created xsi:type="dcterms:W3CDTF">2015-05-01T09:47:01Z</dcterms:created>
  <dcterms:modified xsi:type="dcterms:W3CDTF">2017-01-07T14:09:02Z</dcterms:modified>
</cp:coreProperties>
</file>